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M:\REGNRAPP\R2025\Q4 2025\Til revisor\"/>
    </mc:Choice>
  </mc:AlternateContent>
  <xr:revisionPtr revIDLastSave="0" documentId="13_ncr:1_{DA26A47C-4BA9-427D-B67D-336C954059C2}" xr6:coauthVersionLast="47" xr6:coauthVersionMax="47" xr10:uidLastSave="{00000000-0000-0000-0000-000000000000}"/>
  <bookViews>
    <workbookView xWindow="-108" yWindow="-108" windowWidth="41496" windowHeight="16776" activeTab="1" xr2:uid="{00000000-000D-0000-FFFF-FFFF00000000}"/>
  </bookViews>
  <sheets>
    <sheet name="APM definisjoner" sheetId="1" r:id="rId1"/>
    <sheet name="APM utregning" sheetId="2" r:id="rId2"/>
  </sheets>
  <definedNames>
    <definedName name="_AMO_UniqueIdentifier" hidden="1">"'ea146410-0ba0-4315-a76f-efd61b1e6fa7'"</definedName>
    <definedName name="_xlnm.Print_Area" localSheetId="0">'APM definisjoner'!$A$1:$B$26</definedName>
    <definedName name="_xlnm.Print_Area" localSheetId="1">'APM utregning'!$A$1:$Z$136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2" l="1"/>
  <c r="D122" i="2"/>
  <c r="C122" i="2"/>
  <c r="B122" i="2"/>
  <c r="B87" i="2" l="1"/>
  <c r="B81" i="2"/>
  <c r="B30" i="2"/>
  <c r="B23" i="2"/>
  <c r="B20" i="2"/>
  <c r="B133" i="2" l="1"/>
  <c r="B131" i="2"/>
  <c r="B110" i="2"/>
  <c r="B98" i="2"/>
  <c r="B91" i="2"/>
  <c r="B93" i="2" s="1"/>
  <c r="B88" i="2"/>
  <c r="B73" i="2"/>
  <c r="B59" i="2"/>
  <c r="B55" i="2"/>
  <c r="B48" i="2"/>
  <c r="B42" i="2"/>
  <c r="B43" i="2" s="1"/>
  <c r="B45" i="2" s="1"/>
  <c r="B38" i="2"/>
  <c r="B32" i="2"/>
  <c r="B33" i="2" s="1"/>
  <c r="B25" i="2"/>
  <c r="B10" i="2"/>
  <c r="B6" i="2"/>
  <c r="B14" i="2" l="1"/>
  <c r="B75" i="2"/>
  <c r="B111" i="2"/>
  <c r="B112" i="2" s="1"/>
  <c r="B123" i="2"/>
  <c r="B124" i="2" s="1"/>
  <c r="B134" i="2"/>
  <c r="B135" i="2" s="1"/>
  <c r="B62" i="2"/>
  <c r="B65" i="2" s="1"/>
  <c r="B99" i="2" l="1"/>
  <c r="B100" i="2" s="1"/>
  <c r="B72" i="2"/>
  <c r="C131" i="2"/>
  <c r="B74" i="2" l="1"/>
  <c r="B76" i="2" s="1"/>
  <c r="C30" i="2"/>
  <c r="C81" i="2"/>
  <c r="C23" i="2"/>
  <c r="C20" i="2"/>
  <c r="C10" i="2" l="1"/>
  <c r="C6" i="2"/>
  <c r="C14" i="2" s="1"/>
  <c r="C133" i="2"/>
  <c r="C110" i="2"/>
  <c r="C98" i="2"/>
  <c r="C91" i="2"/>
  <c r="C93" i="2" s="1"/>
  <c r="C87" i="2"/>
  <c r="C88" i="2" s="1"/>
  <c r="C73" i="2"/>
  <c r="C59" i="2"/>
  <c r="C55" i="2"/>
  <c r="C48" i="2"/>
  <c r="C75" i="2" s="1"/>
  <c r="C42" i="2"/>
  <c r="C43" i="2" s="1"/>
  <c r="C45" i="2" s="1"/>
  <c r="C38" i="2"/>
  <c r="C32" i="2"/>
  <c r="C33" i="2" s="1"/>
  <c r="C25" i="2"/>
  <c r="C134" i="2" l="1"/>
  <c r="C135" i="2" s="1"/>
  <c r="C111" i="2"/>
  <c r="C112" i="2" s="1"/>
  <c r="C123" i="2"/>
  <c r="C124" i="2" s="1"/>
  <c r="C62" i="2"/>
  <c r="C65" i="2" s="1"/>
  <c r="D81" i="2"/>
  <c r="D23" i="2"/>
  <c r="D20" i="2"/>
  <c r="D133" i="2"/>
  <c r="D131" i="2"/>
  <c r="D123" i="2"/>
  <c r="D124" i="2" s="1"/>
  <c r="D110" i="2"/>
  <c r="D98" i="2"/>
  <c r="D91" i="2"/>
  <c r="D93" i="2" s="1"/>
  <c r="D87" i="2"/>
  <c r="D88" i="2" s="1"/>
  <c r="D73" i="2"/>
  <c r="D59" i="2"/>
  <c r="D55" i="2"/>
  <c r="D48" i="2"/>
  <c r="D75" i="2" s="1"/>
  <c r="D42" i="2"/>
  <c r="D43" i="2" s="1"/>
  <c r="D45" i="2" s="1"/>
  <c r="D38" i="2"/>
  <c r="D30" i="2"/>
  <c r="D32" i="2" s="1"/>
  <c r="D33" i="2" s="1"/>
  <c r="D10" i="2"/>
  <c r="D6" i="2"/>
  <c r="D14" i="2" s="1"/>
  <c r="C99" i="2" l="1"/>
  <c r="C100" i="2" s="1"/>
  <c r="C72" i="2"/>
  <c r="D134" i="2"/>
  <c r="D135" i="2" s="1"/>
  <c r="D111" i="2"/>
  <c r="D112" i="2" s="1"/>
  <c r="D25" i="2"/>
  <c r="D62" i="2"/>
  <c r="D65" i="2" s="1"/>
  <c r="E133" i="2"/>
  <c r="E110" i="2"/>
  <c r="C74" i="2" l="1"/>
  <c r="C76" i="2" s="1"/>
  <c r="D99" i="2"/>
  <c r="D100" i="2" s="1"/>
  <c r="D72" i="2"/>
  <c r="E81" i="2"/>
  <c r="E42" i="2"/>
  <c r="E43" i="2" s="1"/>
  <c r="E45" i="2" s="1"/>
  <c r="E23" i="2"/>
  <c r="E20" i="2"/>
  <c r="E131" i="2"/>
  <c r="E98" i="2"/>
  <c r="E91" i="2"/>
  <c r="E93" i="2" s="1"/>
  <c r="E87" i="2"/>
  <c r="E88" i="2" s="1"/>
  <c r="E73" i="2"/>
  <c r="E59" i="2"/>
  <c r="E55" i="2"/>
  <c r="E48" i="2"/>
  <c r="E38" i="2"/>
  <c r="E30" i="2"/>
  <c r="E32" i="2" s="1"/>
  <c r="E33" i="2" s="1"/>
  <c r="E10" i="2"/>
  <c r="E6" i="2"/>
  <c r="E14" i="2" s="1"/>
  <c r="E25" i="2" l="1"/>
  <c r="D74" i="2"/>
  <c r="D76" i="2" s="1"/>
  <c r="E75" i="2"/>
  <c r="E123" i="2"/>
  <c r="E124" i="2" s="1"/>
  <c r="E111" i="2"/>
  <c r="E112" i="2" s="1"/>
  <c r="E134" i="2"/>
  <c r="E135" i="2" s="1"/>
  <c r="E62" i="2"/>
  <c r="E65" i="2" s="1"/>
  <c r="E99" i="2" l="1"/>
  <c r="E100" i="2" s="1"/>
  <c r="E72" i="2"/>
  <c r="F48" i="2"/>
  <c r="F133" i="2"/>
  <c r="F122" i="2"/>
  <c r="F110" i="2"/>
  <c r="F111" i="2" s="1"/>
  <c r="F112" i="2" s="1"/>
  <c r="F98" i="2"/>
  <c r="F91" i="2"/>
  <c r="F93" i="2" s="1"/>
  <c r="F87" i="2"/>
  <c r="F88" i="2" s="1"/>
  <c r="F81" i="2"/>
  <c r="F73" i="2"/>
  <c r="F59" i="2"/>
  <c r="B82" i="2" s="1"/>
  <c r="B83" i="2" s="1"/>
  <c r="F55" i="2"/>
  <c r="F42" i="2"/>
  <c r="F43" i="2" s="1"/>
  <c r="F45" i="2" s="1"/>
  <c r="F38" i="2"/>
  <c r="F30" i="2"/>
  <c r="F32" i="2" s="1"/>
  <c r="F33" i="2" s="1"/>
  <c r="F23" i="2"/>
  <c r="F20" i="2"/>
  <c r="F131" i="2"/>
  <c r="F10" i="2"/>
  <c r="F6" i="2"/>
  <c r="F14" i="2" s="1"/>
  <c r="C12" i="2" l="1"/>
  <c r="C15" i="2" s="1"/>
  <c r="C16" i="2" s="1"/>
  <c r="B12" i="2"/>
  <c r="B15" i="2" s="1"/>
  <c r="B16" i="2" s="1"/>
  <c r="F75" i="2"/>
  <c r="B49" i="2"/>
  <c r="B50" i="2" s="1"/>
  <c r="B52" i="2" s="1"/>
  <c r="C56" i="2"/>
  <c r="B56" i="2"/>
  <c r="D82" i="2"/>
  <c r="D83" i="2" s="1"/>
  <c r="C82" i="2"/>
  <c r="C83" i="2" s="1"/>
  <c r="E12" i="2"/>
  <c r="E15" i="2" s="1"/>
  <c r="E16" i="2" s="1"/>
  <c r="D12" i="2"/>
  <c r="D15" i="2" s="1"/>
  <c r="D16" i="2" s="1"/>
  <c r="E56" i="2"/>
  <c r="D56" i="2"/>
  <c r="F62" i="2"/>
  <c r="F65" i="2" s="1"/>
  <c r="E82" i="2"/>
  <c r="E83" i="2" s="1"/>
  <c r="E74" i="2"/>
  <c r="E76" i="2" s="1"/>
  <c r="F123" i="2"/>
  <c r="F124" i="2" s="1"/>
  <c r="F99" i="2"/>
  <c r="F100" i="2" s="1"/>
  <c r="F25" i="2"/>
  <c r="F134" i="2"/>
  <c r="F135" i="2" s="1"/>
  <c r="F72" i="2" l="1"/>
  <c r="B94" i="2" s="1"/>
  <c r="B95" i="2" s="1"/>
  <c r="B66" i="2"/>
  <c r="E94" i="2"/>
  <c r="E95" i="2" s="1"/>
  <c r="F74" i="2"/>
  <c r="F76" i="2" s="1"/>
  <c r="C94" i="2"/>
  <c r="C95" i="2" s="1"/>
  <c r="D94" i="2"/>
  <c r="D95" i="2" s="1"/>
  <c r="G81" i="2"/>
  <c r="G30" i="2"/>
  <c r="G32" i="2" s="1"/>
  <c r="G33" i="2" s="1"/>
  <c r="G23" i="2"/>
  <c r="G20" i="2"/>
  <c r="G133" i="2"/>
  <c r="G131" i="2"/>
  <c r="G122" i="2"/>
  <c r="G123" i="2" s="1"/>
  <c r="G124" i="2" s="1"/>
  <c r="G110" i="2"/>
  <c r="G98" i="2"/>
  <c r="G91" i="2"/>
  <c r="G93" i="2" s="1"/>
  <c r="G87" i="2"/>
  <c r="G88" i="2" s="1"/>
  <c r="G73" i="2"/>
  <c r="G59" i="2"/>
  <c r="G55" i="2"/>
  <c r="G48" i="2"/>
  <c r="C49" i="2" s="1"/>
  <c r="C50" i="2" s="1"/>
  <c r="C52" i="2" s="1"/>
  <c r="G42" i="2"/>
  <c r="G43" i="2" s="1"/>
  <c r="G45" i="2" s="1"/>
  <c r="G38" i="2"/>
  <c r="G10" i="2"/>
  <c r="G6" i="2"/>
  <c r="G14" i="2" s="1"/>
  <c r="B68" i="2" l="1"/>
  <c r="B67" i="2"/>
  <c r="B69" i="2" s="1"/>
  <c r="G62" i="2"/>
  <c r="G65" i="2" s="1"/>
  <c r="C66" i="2" s="1"/>
  <c r="G111" i="2"/>
  <c r="G112" i="2" s="1"/>
  <c r="G25" i="2"/>
  <c r="G134" i="2"/>
  <c r="G135" i="2" s="1"/>
  <c r="G99" i="2"/>
  <c r="G100" i="2" s="1"/>
  <c r="G72" i="2"/>
  <c r="G75" i="2"/>
  <c r="C68" i="2" l="1"/>
  <c r="C67" i="2"/>
  <c r="C69" i="2" s="1"/>
  <c r="G74" i="2"/>
  <c r="G76" i="2" s="1"/>
  <c r="H133" i="2" l="1"/>
  <c r="H81" i="2" l="1"/>
  <c r="H23" i="2"/>
  <c r="H20" i="2"/>
  <c r="H131" i="2" l="1"/>
  <c r="H134" i="2" s="1"/>
  <c r="H135" i="2" s="1"/>
  <c r="H122" i="2"/>
  <c r="H123" i="2" s="1"/>
  <c r="H124" i="2" s="1"/>
  <c r="H110" i="2"/>
  <c r="H98" i="2"/>
  <c r="H91" i="2"/>
  <c r="H93" i="2" s="1"/>
  <c r="H87" i="2"/>
  <c r="H88" i="2" s="1"/>
  <c r="H73" i="2"/>
  <c r="H59" i="2"/>
  <c r="H55" i="2"/>
  <c r="H49" i="2"/>
  <c r="H48" i="2"/>
  <c r="H42" i="2"/>
  <c r="H43" i="2" s="1"/>
  <c r="H45" i="2" s="1"/>
  <c r="H38" i="2"/>
  <c r="H30" i="2"/>
  <c r="H32" i="2" s="1"/>
  <c r="H33" i="2" s="1"/>
  <c r="H25" i="2"/>
  <c r="H10" i="2"/>
  <c r="H6" i="2"/>
  <c r="H14" i="2" s="1"/>
  <c r="I131" i="2"/>
  <c r="H75" i="2" l="1"/>
  <c r="D49" i="2"/>
  <c r="D50" i="2" s="1"/>
  <c r="D52" i="2" s="1"/>
  <c r="H111" i="2"/>
  <c r="H112" i="2" s="1"/>
  <c r="H62" i="2"/>
  <c r="H65" i="2" s="1"/>
  <c r="D66" i="2" s="1"/>
  <c r="H50" i="2"/>
  <c r="H52" i="2" s="1"/>
  <c r="I133" i="2"/>
  <c r="I110" i="2"/>
  <c r="I122" i="2"/>
  <c r="I123" i="2" s="1"/>
  <c r="I124" i="2" s="1"/>
  <c r="I81" i="2"/>
  <c r="I30" i="2"/>
  <c r="I32" i="2" s="1"/>
  <c r="I33" i="2" s="1"/>
  <c r="I20" i="2"/>
  <c r="I23" i="2"/>
  <c r="I98" i="2"/>
  <c r="I91" i="2"/>
  <c r="I93" i="2" s="1"/>
  <c r="I87" i="2"/>
  <c r="I88" i="2" s="1"/>
  <c r="I73" i="2"/>
  <c r="I59" i="2"/>
  <c r="I55" i="2"/>
  <c r="I49" i="2"/>
  <c r="I48" i="2"/>
  <c r="I42" i="2"/>
  <c r="I43" i="2" s="1"/>
  <c r="I45" i="2" s="1"/>
  <c r="I38" i="2"/>
  <c r="I10" i="2"/>
  <c r="I6" i="2"/>
  <c r="I14" i="2" s="1"/>
  <c r="D68" i="2" l="1"/>
  <c r="D67" i="2"/>
  <c r="D69" i="2" s="1"/>
  <c r="I75" i="2"/>
  <c r="E49" i="2"/>
  <c r="E50" i="2" s="1"/>
  <c r="E52" i="2" s="1"/>
  <c r="H99" i="2"/>
  <c r="H100" i="2" s="1"/>
  <c r="H72" i="2"/>
  <c r="I134" i="2"/>
  <c r="I135" i="2" s="1"/>
  <c r="I111" i="2"/>
  <c r="I112" i="2" s="1"/>
  <c r="I25" i="2"/>
  <c r="I62" i="2"/>
  <c r="I65" i="2" s="1"/>
  <c r="E66" i="2" s="1"/>
  <c r="I50" i="2"/>
  <c r="I52" i="2" s="1"/>
  <c r="E68" i="2" l="1"/>
  <c r="E67" i="2"/>
  <c r="E69" i="2" s="1"/>
  <c r="H74" i="2"/>
  <c r="H76" i="2" s="1"/>
  <c r="I99" i="2"/>
  <c r="I100" i="2" s="1"/>
  <c r="I72" i="2"/>
  <c r="J81" i="2"/>
  <c r="I74" i="2" l="1"/>
  <c r="I76" i="2" s="1"/>
  <c r="J23" i="2"/>
  <c r="J20" i="2"/>
  <c r="J133" i="2"/>
  <c r="J131" i="2"/>
  <c r="J122" i="2"/>
  <c r="J110" i="2"/>
  <c r="J98" i="2"/>
  <c r="J91" i="2"/>
  <c r="J93" i="2" s="1"/>
  <c r="J87" i="2"/>
  <c r="J88" i="2" s="1"/>
  <c r="J73" i="2"/>
  <c r="J59" i="2"/>
  <c r="J55" i="2"/>
  <c r="J49" i="2"/>
  <c r="J48" i="2"/>
  <c r="J42" i="2"/>
  <c r="J43" i="2" s="1"/>
  <c r="J45" i="2" s="1"/>
  <c r="J38" i="2"/>
  <c r="J30" i="2"/>
  <c r="J32" i="2" s="1"/>
  <c r="J33" i="2" s="1"/>
  <c r="J10" i="2"/>
  <c r="J6" i="2"/>
  <c r="J14" i="2" s="1"/>
  <c r="G56" i="2" l="1"/>
  <c r="F56" i="2"/>
  <c r="G12" i="2"/>
  <c r="G15" i="2" s="1"/>
  <c r="G16" i="2" s="1"/>
  <c r="F12" i="2"/>
  <c r="F15" i="2" s="1"/>
  <c r="F16" i="2" s="1"/>
  <c r="G82" i="2"/>
  <c r="G83" i="2" s="1"/>
  <c r="F82" i="2"/>
  <c r="F83" i="2" s="1"/>
  <c r="J75" i="2"/>
  <c r="F49" i="2"/>
  <c r="F50" i="2" s="1"/>
  <c r="F52" i="2" s="1"/>
  <c r="I12" i="2"/>
  <c r="I15" i="2" s="1"/>
  <c r="I16" i="2" s="1"/>
  <c r="H12" i="2"/>
  <c r="H15" i="2" s="1"/>
  <c r="H16" i="2" s="1"/>
  <c r="I56" i="2"/>
  <c r="H56" i="2"/>
  <c r="I82" i="2"/>
  <c r="I83" i="2" s="1"/>
  <c r="H82" i="2"/>
  <c r="H83" i="2" s="1"/>
  <c r="J62" i="2"/>
  <c r="J65" i="2" s="1"/>
  <c r="J134" i="2"/>
  <c r="J135" i="2" s="1"/>
  <c r="J111" i="2"/>
  <c r="J112" i="2" s="1"/>
  <c r="J123" i="2"/>
  <c r="J124" i="2" s="1"/>
  <c r="J50" i="2"/>
  <c r="J52" i="2" s="1"/>
  <c r="J25" i="2"/>
  <c r="K48" i="2"/>
  <c r="G49" i="2" s="1"/>
  <c r="G50" i="2" s="1"/>
  <c r="G52" i="2" s="1"/>
  <c r="J72" i="2" l="1"/>
  <c r="F66" i="2"/>
  <c r="J99" i="2"/>
  <c r="J100" i="2" s="1"/>
  <c r="K91" i="2"/>
  <c r="K93" i="2" s="1"/>
  <c r="K81" i="2"/>
  <c r="K23" i="2"/>
  <c r="K20" i="2"/>
  <c r="K133" i="2"/>
  <c r="K131" i="2"/>
  <c r="K122" i="2"/>
  <c r="K123" i="2" s="1"/>
  <c r="K124" i="2" s="1"/>
  <c r="K110" i="2"/>
  <c r="K98" i="2"/>
  <c r="K87" i="2"/>
  <c r="K88" i="2" s="1"/>
  <c r="K75" i="2"/>
  <c r="K73" i="2"/>
  <c r="K59" i="2"/>
  <c r="K55" i="2"/>
  <c r="K42" i="2"/>
  <c r="K43" i="2" s="1"/>
  <c r="K45" i="2" s="1"/>
  <c r="K38" i="2"/>
  <c r="K30" i="2"/>
  <c r="K32" i="2" s="1"/>
  <c r="K33" i="2" s="1"/>
  <c r="K10" i="2"/>
  <c r="K6" i="2"/>
  <c r="K14" i="2" s="1"/>
  <c r="G94" i="2" l="1"/>
  <c r="G95" i="2" s="1"/>
  <c r="F94" i="2"/>
  <c r="F95" i="2" s="1"/>
  <c r="H94" i="2"/>
  <c r="H95" i="2" s="1"/>
  <c r="J74" i="2"/>
  <c r="J76" i="2" s="1"/>
  <c r="I94" i="2"/>
  <c r="I95" i="2" s="1"/>
  <c r="F68" i="2"/>
  <c r="F67" i="2"/>
  <c r="F69" i="2" s="1"/>
  <c r="K62" i="2"/>
  <c r="K65" i="2" s="1"/>
  <c r="G66" i="2" s="1"/>
  <c r="K134" i="2"/>
  <c r="K135" i="2" s="1"/>
  <c r="K111" i="2"/>
  <c r="K112" i="2" s="1"/>
  <c r="K25" i="2"/>
  <c r="L81" i="2"/>
  <c r="L23" i="2"/>
  <c r="L20" i="2"/>
  <c r="K72" i="2" l="1"/>
  <c r="K99" i="2"/>
  <c r="K100" i="2" s="1"/>
  <c r="G68" i="2"/>
  <c r="G67" i="2"/>
  <c r="K74" i="2"/>
  <c r="K76" i="2" s="1"/>
  <c r="L10" i="2"/>
  <c r="L6" i="2"/>
  <c r="L14" i="2" s="1"/>
  <c r="L133" i="2"/>
  <c r="L131" i="2"/>
  <c r="L122" i="2"/>
  <c r="L123" i="2" s="1"/>
  <c r="L124" i="2" s="1"/>
  <c r="L110" i="2"/>
  <c r="L111" i="2" s="1"/>
  <c r="L112" i="2" s="1"/>
  <c r="L98" i="2"/>
  <c r="L91" i="2"/>
  <c r="L93" i="2" s="1"/>
  <c r="L87" i="2"/>
  <c r="L88" i="2" s="1"/>
  <c r="L75" i="2"/>
  <c r="L73" i="2"/>
  <c r="L59" i="2"/>
  <c r="L55" i="2"/>
  <c r="L42" i="2"/>
  <c r="L43" i="2" s="1"/>
  <c r="L45" i="2" s="1"/>
  <c r="L38" i="2"/>
  <c r="L30" i="2"/>
  <c r="L32" i="2" s="1"/>
  <c r="L33" i="2" s="1"/>
  <c r="L25" i="2"/>
  <c r="M81" i="2"/>
  <c r="M23" i="2"/>
  <c r="M20" i="2"/>
  <c r="M133" i="2"/>
  <c r="M131" i="2"/>
  <c r="M122" i="2"/>
  <c r="M123" i="2" s="1"/>
  <c r="M124" i="2" s="1"/>
  <c r="M110" i="2"/>
  <c r="M111" i="2" s="1"/>
  <c r="M112" i="2" s="1"/>
  <c r="M98" i="2"/>
  <c r="M91" i="2"/>
  <c r="M93" i="2" s="1"/>
  <c r="M87" i="2"/>
  <c r="M88" i="2" s="1"/>
  <c r="M75" i="2"/>
  <c r="M73" i="2"/>
  <c r="M59" i="2"/>
  <c r="M62" i="2" s="1"/>
  <c r="M65" i="2" s="1"/>
  <c r="I66" i="2" s="1"/>
  <c r="M55" i="2"/>
  <c r="M42" i="2"/>
  <c r="M43" i="2" s="1"/>
  <c r="M45" i="2" s="1"/>
  <c r="M38" i="2"/>
  <c r="M30" i="2"/>
  <c r="M32" i="2" s="1"/>
  <c r="M10" i="2"/>
  <c r="M6" i="2"/>
  <c r="M14" i="2" s="1"/>
  <c r="G69" i="2" l="1"/>
  <c r="I68" i="2"/>
  <c r="I67" i="2"/>
  <c r="L134" i="2"/>
  <c r="L135" i="2" s="1"/>
  <c r="L62" i="2"/>
  <c r="L65" i="2" s="1"/>
  <c r="M134" i="2"/>
  <c r="M135" i="2" s="1"/>
  <c r="M25" i="2"/>
  <c r="M33" i="2"/>
  <c r="M99" i="2"/>
  <c r="M100" i="2" s="1"/>
  <c r="M72" i="2"/>
  <c r="I69" i="2" l="1"/>
  <c r="L99" i="2"/>
  <c r="L100" i="2" s="1"/>
  <c r="H66" i="2"/>
  <c r="L72" i="2"/>
  <c r="M74" i="2"/>
  <c r="M76" i="2" s="1"/>
  <c r="O98" i="2"/>
  <c r="P98" i="2"/>
  <c r="Q98" i="2"/>
  <c r="R98" i="2"/>
  <c r="S98" i="2"/>
  <c r="T98" i="2"/>
  <c r="U98" i="2"/>
  <c r="U100" i="2" s="1"/>
  <c r="V98" i="2"/>
  <c r="W98" i="2"/>
  <c r="X98" i="2"/>
  <c r="Y98" i="2"/>
  <c r="Z98" i="2"/>
  <c r="N98" i="2"/>
  <c r="U88" i="2"/>
  <c r="N87" i="2"/>
  <c r="N88" i="2" s="1"/>
  <c r="O87" i="2"/>
  <c r="O88" i="2" s="1"/>
  <c r="P87" i="2"/>
  <c r="P88" i="2" s="1"/>
  <c r="Q87" i="2"/>
  <c r="Q88" i="2" s="1"/>
  <c r="R87" i="2"/>
  <c r="R88" i="2" s="1"/>
  <c r="V87" i="2"/>
  <c r="V88" i="2" s="1"/>
  <c r="W87" i="2"/>
  <c r="W88" i="2" s="1"/>
  <c r="X87" i="2"/>
  <c r="X88" i="2" s="1"/>
  <c r="Y87" i="2"/>
  <c r="Y88" i="2" s="1"/>
  <c r="Z87" i="2"/>
  <c r="Z88" i="2" s="1"/>
  <c r="N30" i="2"/>
  <c r="N81" i="2"/>
  <c r="N23" i="2"/>
  <c r="N20" i="2"/>
  <c r="H68" i="2" l="1"/>
  <c r="H67" i="2"/>
  <c r="L74" i="2"/>
  <c r="L76" i="2" s="1"/>
  <c r="N133" i="2"/>
  <c r="N131" i="2"/>
  <c r="N122" i="2"/>
  <c r="N123" i="2" s="1"/>
  <c r="N124" i="2" s="1"/>
  <c r="N110" i="2"/>
  <c r="N111" i="2" s="1"/>
  <c r="N112" i="2" s="1"/>
  <c r="N91" i="2"/>
  <c r="N93" i="2" s="1"/>
  <c r="N73" i="2"/>
  <c r="N59" i="2"/>
  <c r="J82" i="2" s="1"/>
  <c r="J83" i="2" s="1"/>
  <c r="N55" i="2"/>
  <c r="N42" i="2"/>
  <c r="N43" i="2" s="1"/>
  <c r="N45" i="2" s="1"/>
  <c r="N38" i="2"/>
  <c r="N32" i="2"/>
  <c r="N25" i="2"/>
  <c r="N10" i="2"/>
  <c r="N6" i="2"/>
  <c r="N14" i="2" s="1"/>
  <c r="O81" i="2"/>
  <c r="O23" i="2"/>
  <c r="O20" i="2"/>
  <c r="H69" i="2" l="1"/>
  <c r="K56" i="2"/>
  <c r="J56" i="2"/>
  <c r="K12" i="2"/>
  <c r="K15" i="2" s="1"/>
  <c r="K16" i="2" s="1"/>
  <c r="J12" i="2"/>
  <c r="J15" i="2" s="1"/>
  <c r="J16" i="2" s="1"/>
  <c r="L82" i="2"/>
  <c r="L83" i="2" s="1"/>
  <c r="K82" i="2"/>
  <c r="K83" i="2" s="1"/>
  <c r="M56" i="2"/>
  <c r="L56" i="2"/>
  <c r="M12" i="2"/>
  <c r="M15" i="2" s="1"/>
  <c r="M16" i="2" s="1"/>
  <c r="L12" i="2"/>
  <c r="L15" i="2" s="1"/>
  <c r="L16" i="2" s="1"/>
  <c r="N62" i="2"/>
  <c r="N65" i="2" s="1"/>
  <c r="M82" i="2"/>
  <c r="M83" i="2" s="1"/>
  <c r="N134" i="2"/>
  <c r="N135" i="2" s="1"/>
  <c r="N33" i="2"/>
  <c r="N75" i="2"/>
  <c r="O133" i="2"/>
  <c r="O131" i="2"/>
  <c r="O122" i="2"/>
  <c r="O123" i="2" s="1"/>
  <c r="O124" i="2" s="1"/>
  <c r="O110" i="2"/>
  <c r="O111" i="2" s="1"/>
  <c r="O112" i="2" s="1"/>
  <c r="O91" i="2"/>
  <c r="O93" i="2" s="1"/>
  <c r="O73" i="2"/>
  <c r="O66" i="2"/>
  <c r="O68" i="2" s="1"/>
  <c r="O59" i="2"/>
  <c r="O55" i="2"/>
  <c r="O49" i="2"/>
  <c r="O48" i="2"/>
  <c r="K49" i="2" s="1"/>
  <c r="K50" i="2" s="1"/>
  <c r="K52" i="2" s="1"/>
  <c r="O42" i="2"/>
  <c r="O43" i="2" s="1"/>
  <c r="O45" i="2" s="1"/>
  <c r="O38" i="2"/>
  <c r="O32" i="2"/>
  <c r="O25" i="2"/>
  <c r="O10" i="2"/>
  <c r="O6" i="2"/>
  <c r="O14" i="2" s="1"/>
  <c r="N99" i="2" l="1"/>
  <c r="N100" i="2" s="1"/>
  <c r="J66" i="2"/>
  <c r="N72" i="2"/>
  <c r="O50" i="2"/>
  <c r="O52" i="2" s="1"/>
  <c r="O134" i="2"/>
  <c r="O135" i="2" s="1"/>
  <c r="O33" i="2"/>
  <c r="O62" i="2"/>
  <c r="O65" i="2" s="1"/>
  <c r="O75" i="2"/>
  <c r="P110" i="2"/>
  <c r="Q91" i="2"/>
  <c r="Q93" i="2" s="1"/>
  <c r="Q81" i="2"/>
  <c r="P81" i="2"/>
  <c r="J68" i="2" l="1"/>
  <c r="J67" i="2"/>
  <c r="K94" i="2"/>
  <c r="K95" i="2" s="1"/>
  <c r="J94" i="2"/>
  <c r="J95" i="2" s="1"/>
  <c r="O99" i="2"/>
  <c r="O100" i="2" s="1"/>
  <c r="K66" i="2"/>
  <c r="M94" i="2"/>
  <c r="M95" i="2" s="1"/>
  <c r="L94" i="2"/>
  <c r="L95" i="2" s="1"/>
  <c r="N74" i="2"/>
  <c r="N76" i="2" s="1"/>
  <c r="O67" i="2"/>
  <c r="O69" i="2" s="1"/>
  <c r="O72" i="2"/>
  <c r="Q20" i="2"/>
  <c r="J69" i="2" l="1"/>
  <c r="K68" i="2"/>
  <c r="K67" i="2"/>
  <c r="O74" i="2"/>
  <c r="O76" i="2" s="1"/>
  <c r="P20" i="2"/>
  <c r="P23" i="2"/>
  <c r="K69" i="2" l="1"/>
  <c r="P133" i="2"/>
  <c r="P131" i="2"/>
  <c r="P122" i="2"/>
  <c r="P111" i="2"/>
  <c r="P112" i="2" s="1"/>
  <c r="P91" i="2"/>
  <c r="P93" i="2" s="1"/>
  <c r="P73" i="2"/>
  <c r="P66" i="2"/>
  <c r="P68" i="2" s="1"/>
  <c r="P59" i="2"/>
  <c r="P55" i="2"/>
  <c r="P49" i="2"/>
  <c r="P48" i="2"/>
  <c r="P42" i="2"/>
  <c r="P43" i="2" s="1"/>
  <c r="P45" i="2" s="1"/>
  <c r="P38" i="2"/>
  <c r="P30" i="2"/>
  <c r="P32" i="2" s="1"/>
  <c r="P10" i="2"/>
  <c r="P6" i="2"/>
  <c r="P14" i="2" s="1"/>
  <c r="Q133" i="2"/>
  <c r="P75" i="2" l="1"/>
  <c r="L49" i="2"/>
  <c r="L50" i="2" s="1"/>
  <c r="L52" i="2" s="1"/>
  <c r="P50" i="2"/>
  <c r="P52" i="2" s="1"/>
  <c r="P62" i="2"/>
  <c r="P65" i="2" s="1"/>
  <c r="P134" i="2"/>
  <c r="P135" i="2" s="1"/>
  <c r="P123" i="2"/>
  <c r="P124" i="2" s="1"/>
  <c r="P25" i="2"/>
  <c r="P33" i="2"/>
  <c r="P99" i="2" l="1"/>
  <c r="P100" i="2" s="1"/>
  <c r="L66" i="2"/>
  <c r="P72" i="2"/>
  <c r="P67" i="2"/>
  <c r="P69" i="2" s="1"/>
  <c r="Q122" i="2"/>
  <c r="L68" i="2" l="1"/>
  <c r="L67" i="2"/>
  <c r="P74" i="2"/>
  <c r="P76" i="2" s="1"/>
  <c r="Q110" i="2"/>
  <c r="L69" i="2" l="1"/>
  <c r="R106" i="2"/>
  <c r="Q131" i="2" l="1"/>
  <c r="Q134" i="2" s="1"/>
  <c r="Q135" i="2" s="1"/>
  <c r="R131" i="2"/>
  <c r="Q123" i="2"/>
  <c r="Q124" i="2" s="1"/>
  <c r="Q111" i="2"/>
  <c r="Q112" i="2" s="1"/>
  <c r="R118" i="2"/>
  <c r="Q73" i="2"/>
  <c r="Q66" i="2"/>
  <c r="Q68" i="2" s="1"/>
  <c r="Q59" i="2"/>
  <c r="R59" i="2"/>
  <c r="R62" i="2" s="1"/>
  <c r="R65" i="2" s="1"/>
  <c r="U56" i="2"/>
  <c r="Q55" i="2"/>
  <c r="Q49" i="2"/>
  <c r="Q48" i="2"/>
  <c r="Q42" i="2"/>
  <c r="Q43" i="2" s="1"/>
  <c r="Q45" i="2" s="1"/>
  <c r="Q38" i="2"/>
  <c r="R38" i="2"/>
  <c r="Q30" i="2"/>
  <c r="Q32" i="2" s="1"/>
  <c r="Q33" i="2" s="1"/>
  <c r="R30" i="2"/>
  <c r="Q23" i="2"/>
  <c r="Q25" i="2" s="1"/>
  <c r="R23" i="2"/>
  <c r="Q10" i="2"/>
  <c r="Q6" i="2"/>
  <c r="Q14" i="2" s="1"/>
  <c r="Q75" i="2" l="1"/>
  <c r="M49" i="2"/>
  <c r="M50" i="2" s="1"/>
  <c r="M52" i="2" s="1"/>
  <c r="N82" i="2"/>
  <c r="N83" i="2" s="1"/>
  <c r="N66" i="2"/>
  <c r="N67" i="2" s="1"/>
  <c r="R99" i="2"/>
  <c r="R100" i="2" s="1"/>
  <c r="Q62" i="2"/>
  <c r="Q65" i="2" s="1"/>
  <c r="M66" i="2" s="1"/>
  <c r="O82" i="2"/>
  <c r="O83" i="2" s="1"/>
  <c r="Q82" i="2"/>
  <c r="Q83" i="2" s="1"/>
  <c r="P82" i="2"/>
  <c r="P83" i="2" s="1"/>
  <c r="Q50" i="2"/>
  <c r="Q52" i="2" s="1"/>
  <c r="M68" i="2" l="1"/>
  <c r="M67" i="2"/>
  <c r="N68" i="2"/>
  <c r="N69" i="2" s="1"/>
  <c r="Q67" i="2"/>
  <c r="Q69" i="2" s="1"/>
  <c r="Q99" i="2"/>
  <c r="Q100" i="2" s="1"/>
  <c r="Q72" i="2"/>
  <c r="R122" i="2"/>
  <c r="M69" i="2" l="1"/>
  <c r="Q74" i="2"/>
  <c r="Q76" i="2" s="1"/>
  <c r="R127" i="2"/>
  <c r="R133" i="2" s="1"/>
  <c r="R20" i="2" l="1"/>
  <c r="R25" i="2" s="1"/>
  <c r="R110" i="2"/>
  <c r="R81" i="2"/>
  <c r="R42" i="2"/>
  <c r="R43" i="2" s="1"/>
  <c r="R45" i="2" s="1"/>
  <c r="R111" i="2" l="1"/>
  <c r="R112" i="2" s="1"/>
  <c r="T73" i="2"/>
  <c r="T74" i="2" s="1"/>
  <c r="T76" i="2" s="1"/>
  <c r="U73" i="2"/>
  <c r="U74" i="2" s="1"/>
  <c r="U76" i="2" s="1"/>
  <c r="V73" i="2"/>
  <c r="W73" i="2"/>
  <c r="X73" i="2"/>
  <c r="Y73" i="2"/>
  <c r="Z73" i="2"/>
  <c r="R73" i="2"/>
  <c r="R55" i="2" l="1"/>
  <c r="N56" i="2" s="1"/>
  <c r="R48" i="2"/>
  <c r="N49" i="2" s="1"/>
  <c r="N50" i="2" s="1"/>
  <c r="N52" i="2" s="1"/>
  <c r="R32" i="2"/>
  <c r="R33" i="2" s="1"/>
  <c r="R6" i="2"/>
  <c r="R14" i="2" s="1"/>
  <c r="P56" i="2" l="1"/>
  <c r="O56" i="2"/>
  <c r="R56" i="2"/>
  <c r="Q56" i="2"/>
  <c r="R75" i="2"/>
  <c r="Y56" i="2"/>
  <c r="X56" i="2"/>
  <c r="V56" i="2"/>
  <c r="Y23" i="2"/>
  <c r="X23" i="2"/>
  <c r="W23" i="2"/>
  <c r="V23" i="2"/>
  <c r="Z131" i="2"/>
  <c r="W131" i="2"/>
  <c r="X131" i="2"/>
  <c r="Y131" i="2"/>
  <c r="V131" i="2" l="1"/>
  <c r="U131" i="2"/>
  <c r="U95" i="2" l="1"/>
  <c r="Z32" i="2"/>
  <c r="Y32" i="2"/>
  <c r="X32" i="2"/>
  <c r="W32" i="2"/>
  <c r="V32" i="2"/>
  <c r="U32" i="2"/>
  <c r="R134" i="2" l="1"/>
  <c r="R135" i="2" s="1"/>
  <c r="W82" i="2" l="1"/>
  <c r="V82" i="2"/>
  <c r="Y20" i="2"/>
  <c r="U115" i="2" l="1"/>
  <c r="R115" i="2"/>
  <c r="U118" i="2"/>
  <c r="U122" i="2" s="1"/>
  <c r="U106" i="2"/>
  <c r="U133" i="2"/>
  <c r="R113" i="2" l="1"/>
  <c r="U113" i="2"/>
  <c r="U134" i="2"/>
  <c r="U135" i="2" s="1"/>
  <c r="U123" i="2"/>
  <c r="U124" i="2" s="1"/>
  <c r="U110" i="2"/>
  <c r="U111" i="2" s="1"/>
  <c r="U112" i="2" s="1"/>
  <c r="R114" i="2"/>
  <c r="U114" i="2"/>
  <c r="R82" i="2"/>
  <c r="R123" i="2" l="1"/>
  <c r="R124" i="2" s="1"/>
  <c r="R91" i="2"/>
  <c r="R93" i="2" s="1"/>
  <c r="R72" i="2"/>
  <c r="N94" i="2" s="1"/>
  <c r="N95" i="2" s="1"/>
  <c r="R10" i="2"/>
  <c r="N12" i="2" s="1"/>
  <c r="N15" i="2" s="1"/>
  <c r="N16" i="2" s="1"/>
  <c r="Y48" i="2"/>
  <c r="P12" i="2" l="1"/>
  <c r="P15" i="2" s="1"/>
  <c r="P16" i="2" s="1"/>
  <c r="O12" i="2"/>
  <c r="O15" i="2" s="1"/>
  <c r="O16" i="2" s="1"/>
  <c r="P94" i="2"/>
  <c r="P95" i="2" s="1"/>
  <c r="O94" i="2"/>
  <c r="O95" i="2" s="1"/>
  <c r="Q12" i="2"/>
  <c r="Q15" i="2" s="1"/>
  <c r="Q16" i="2" s="1"/>
  <c r="R74" i="2"/>
  <c r="R76" i="2" s="1"/>
  <c r="Q94" i="2"/>
  <c r="Q95" i="2" s="1"/>
  <c r="R83" i="2"/>
  <c r="Y133" i="2"/>
  <c r="Z110" i="2" l="1"/>
  <c r="Z111" i="2" s="1"/>
  <c r="Z112" i="2" s="1"/>
  <c r="W110" i="2"/>
  <c r="W111" i="2" s="1"/>
  <c r="W112" i="2" s="1"/>
  <c r="X110" i="2"/>
  <c r="X111" i="2" s="1"/>
  <c r="X112" i="2" s="1"/>
  <c r="V110" i="2"/>
  <c r="V111" i="2" s="1"/>
  <c r="V112" i="2" s="1"/>
  <c r="Z122" i="2" l="1"/>
  <c r="Z123" i="2" s="1"/>
  <c r="Z124" i="2" s="1"/>
  <c r="W122" i="2"/>
  <c r="W123" i="2" s="1"/>
  <c r="W124" i="2" s="1"/>
  <c r="X122" i="2"/>
  <c r="X123" i="2" s="1"/>
  <c r="X124" i="2" s="1"/>
  <c r="Y122" i="2"/>
  <c r="Y123" i="2" s="1"/>
  <c r="Y124" i="2" s="1"/>
  <c r="V122" i="2"/>
  <c r="V123" i="2" s="1"/>
  <c r="V124" i="2" s="1"/>
  <c r="Z133" i="2"/>
  <c r="Z134" i="2" s="1"/>
  <c r="Z135" i="2" s="1"/>
  <c r="W133" i="2"/>
  <c r="X133" i="2"/>
  <c r="X134" i="2" s="1"/>
  <c r="X135" i="2" s="1"/>
  <c r="Y134" i="2"/>
  <c r="Y135" i="2" s="1"/>
  <c r="V133" i="2"/>
  <c r="V134" i="2" s="1"/>
  <c r="V135" i="2" s="1"/>
  <c r="Y110" i="2" l="1"/>
  <c r="Y111" i="2" s="1"/>
  <c r="Y112" i="2" s="1"/>
  <c r="W134" i="2"/>
  <c r="W135" i="2" s="1"/>
  <c r="Z91" i="2" l="1"/>
  <c r="Z93" i="2" s="1"/>
  <c r="Z95" i="2" s="1"/>
  <c r="Y91" i="2"/>
  <c r="V91" i="2"/>
  <c r="Z81" i="2"/>
  <c r="Z83" i="2" s="1"/>
  <c r="X79" i="2"/>
  <c r="W79" i="2" s="1"/>
  <c r="W81" i="2" s="1"/>
  <c r="Y82" i="2"/>
  <c r="X82" i="2"/>
  <c r="Y81" i="2"/>
  <c r="V81" i="2"/>
  <c r="W91" i="2" l="1"/>
  <c r="X91" i="2"/>
  <c r="X81" i="2"/>
  <c r="X83" i="2" s="1"/>
  <c r="V83" i="2"/>
  <c r="Y83" i="2"/>
  <c r="W83" i="2"/>
  <c r="Z68" i="2" l="1"/>
  <c r="Y68" i="2"/>
  <c r="X68" i="2"/>
  <c r="W68" i="2"/>
  <c r="Z62" i="2" l="1"/>
  <c r="Z65" i="2" s="1"/>
  <c r="Z99" i="2" s="1"/>
  <c r="Z100" i="2" s="1"/>
  <c r="Y62" i="2"/>
  <c r="X62" i="2"/>
  <c r="W62" i="2"/>
  <c r="V62" i="2"/>
  <c r="W56" i="2"/>
  <c r="X65" i="2" l="1"/>
  <c r="X99" i="2" s="1"/>
  <c r="X100" i="2" s="1"/>
  <c r="V65" i="2"/>
  <c r="W65" i="2"/>
  <c r="W99" i="2" s="1"/>
  <c r="W100" i="2" s="1"/>
  <c r="Y65" i="2"/>
  <c r="V66" i="2"/>
  <c r="V68" i="2" s="1"/>
  <c r="Z67" i="2"/>
  <c r="Z69" i="2" s="1"/>
  <c r="Z72" i="2"/>
  <c r="Z74" i="2" s="1"/>
  <c r="Y94" i="2" l="1"/>
  <c r="Y99" i="2"/>
  <c r="Y100" i="2" s="1"/>
  <c r="R66" i="2"/>
  <c r="R68" i="2" s="1"/>
  <c r="V99" i="2"/>
  <c r="V100" i="2" s="1"/>
  <c r="V72" i="2"/>
  <c r="V94" i="2"/>
  <c r="W72" i="2"/>
  <c r="W74" i="2" s="1"/>
  <c r="W67" i="2"/>
  <c r="W69" i="2" s="1"/>
  <c r="Y72" i="2"/>
  <c r="Y74" i="2" s="1"/>
  <c r="Y67" i="2"/>
  <c r="Y69" i="2" s="1"/>
  <c r="X72" i="2"/>
  <c r="X74" i="2" s="1"/>
  <c r="X67" i="2"/>
  <c r="X69" i="2" s="1"/>
  <c r="X48" i="2"/>
  <c r="Y75" i="2"/>
  <c r="Z48" i="2"/>
  <c r="Z75" i="2" s="1"/>
  <c r="Z76" i="2" s="1"/>
  <c r="W48" i="2"/>
  <c r="V48" i="2"/>
  <c r="V43" i="2"/>
  <c r="V45" i="2" s="1"/>
  <c r="Y43" i="2"/>
  <c r="Y45" i="2" s="1"/>
  <c r="X43" i="2"/>
  <c r="X45" i="2" s="1"/>
  <c r="Y38" i="2"/>
  <c r="X38" i="2"/>
  <c r="R67" i="2" l="1"/>
  <c r="Y76" i="2"/>
  <c r="R69" i="2"/>
  <c r="V75" i="2"/>
  <c r="R49" i="2"/>
  <c r="R50" i="2" s="1"/>
  <c r="R52" i="2" s="1"/>
  <c r="R94" i="2"/>
  <c r="R95" i="2" s="1"/>
  <c r="V74" i="2"/>
  <c r="W75" i="2"/>
  <c r="W76" i="2" s="1"/>
  <c r="X75" i="2"/>
  <c r="X76" i="2" s="1"/>
  <c r="Z43" i="2"/>
  <c r="Z45" i="2" s="1"/>
  <c r="Z50" i="2"/>
  <c r="Z52" i="2" s="1"/>
  <c r="W43" i="2"/>
  <c r="W45" i="2" s="1"/>
  <c r="V76" i="2" l="1"/>
  <c r="Z38" i="2"/>
  <c r="W38" i="2"/>
  <c r="Z33" i="2"/>
  <c r="W28" i="2"/>
  <c r="X28" i="2"/>
  <c r="Z20" i="2"/>
  <c r="Z25" i="2" s="1"/>
  <c r="W19" i="2"/>
  <c r="X19" i="2"/>
  <c r="V20" i="2"/>
  <c r="Z15" i="2"/>
  <c r="Z6" i="2"/>
  <c r="Z14" i="2" s="1"/>
  <c r="Y6" i="2"/>
  <c r="Y14" i="2" s="1"/>
  <c r="X6" i="2"/>
  <c r="X14" i="2" s="1"/>
  <c r="W6" i="2"/>
  <c r="W14" i="2" s="1"/>
  <c r="Z10" i="2"/>
  <c r="X20" i="2" l="1"/>
  <c r="X25" i="2" s="1"/>
  <c r="W20" i="2"/>
  <c r="W25" i="2" s="1"/>
  <c r="V25" i="2"/>
  <c r="Y25" i="2"/>
  <c r="Z16" i="2"/>
  <c r="W10" i="2" l="1"/>
  <c r="X10" i="2"/>
  <c r="Y10" i="2"/>
  <c r="W33" i="2"/>
  <c r="X33" i="2"/>
  <c r="Y33" i="2"/>
  <c r="Y50" i="2"/>
  <c r="Y52" i="2" s="1"/>
  <c r="X94" i="2"/>
  <c r="W93" i="2"/>
  <c r="X93" i="2"/>
  <c r="Y93" i="2"/>
  <c r="Y12" i="2" l="1"/>
  <c r="Y15" i="2" s="1"/>
  <c r="Y16" i="2" s="1"/>
  <c r="Y95" i="2"/>
  <c r="X95" i="2"/>
  <c r="X12" i="2"/>
  <c r="X15" i="2" s="1"/>
  <c r="X16" i="2" s="1"/>
  <c r="W12" i="2"/>
  <c r="W15" i="2" s="1"/>
  <c r="W16" i="2" s="1"/>
  <c r="W94" i="2"/>
  <c r="W95" i="2" l="1"/>
  <c r="V49" i="2"/>
  <c r="V67" i="2" l="1"/>
  <c r="V69" i="2" l="1"/>
  <c r="X50" i="2"/>
  <c r="X52" i="2" s="1"/>
  <c r="W50" i="2" l="1"/>
  <c r="W52" i="2" s="1"/>
  <c r="V93" i="2" l="1"/>
  <c r="V38" i="2"/>
  <c r="V50" i="2" l="1"/>
  <c r="V52" i="2" s="1"/>
  <c r="V95" i="2"/>
  <c r="V10" i="2"/>
  <c r="R12" i="2" s="1"/>
  <c r="R15" i="2" s="1"/>
  <c r="R16" i="2" s="1"/>
  <c r="V12" i="2" l="1"/>
  <c r="V33" i="2"/>
  <c r="V15" i="2" l="1"/>
  <c r="V6" i="2" l="1"/>
  <c r="V14" i="2" s="1"/>
  <c r="V16" i="2" s="1"/>
</calcChain>
</file>

<file path=xl/sharedStrings.xml><?xml version="1.0" encoding="utf-8"?>
<sst xmlns="http://schemas.openxmlformats.org/spreadsheetml/2006/main" count="124" uniqueCount="110">
  <si>
    <t xml:space="preserve">Alternative Resultatmål (APM'er) </t>
  </si>
  <si>
    <t xml:space="preserve">BN Bank benytter flere alternative resultatmål (APM'er) som gir nyttig informasjon for å supplere regnskapet. Dette er nøkkeltall som ikke er definert i IFRS og som ikke nødvendigvis er direkte sammenlignbare med andre selskapers resultatmål. APM'er er ikke ment å erstatte eller overskygge regnskapstallene, men er inkludert i våre rapporter for å gi innsikt og forståelse for BN Bank sin resultatoppnåelse og representerer viktige måltall for hvordan ledelsen styrer banken.  </t>
  </si>
  <si>
    <t xml:space="preserve">Nøkkeltall som er regulert i IFRS eller annen lovgivning er ikke regnet som alternative resultatmål. Det samme gjelder for ikke-finansiell informasjon. BN Bank sine alternative resultatmål er i hovedsak presentert i nøkkeltallsoppstillingen og i årsberetningen.  APM'ene som nevnt under har vært brukt konsistent over tid. </t>
  </si>
  <si>
    <t xml:space="preserve">Alternative resultatmål i BN Bank med definisjoner: </t>
  </si>
  <si>
    <t>Begrunnelse og definisjon</t>
  </si>
  <si>
    <t>Egenkapitalrentabilitet</t>
  </si>
  <si>
    <t>Rentenetto</t>
  </si>
  <si>
    <t>Nøkkeltallet gir informasjon om hvor stor andel netto rente- og kredittprovisjonsinntekter utgjør av gjennomsnittlig forvaltningskapital i perioden.</t>
  </si>
  <si>
    <t>Kostnadsprosent</t>
  </si>
  <si>
    <t xml:space="preserve">Kostnadsprosent er inkludert for å gi informasjon om sammenhengen mellom inntekter og kostnader, og er vurdert å være et av de viktigste finansielle måltall i BN Bank. Beregnes som sum driftskostnader dividert med sum inntekter. </t>
  </si>
  <si>
    <t xml:space="preserve">Innskuddsdekning  </t>
  </si>
  <si>
    <t>Innskuddsdekning beregnes som andel innskudd fra kunder i prosent av netto utlån til kunder. Måltallet gir relevant informasjon om likviditeten til BN Bank.</t>
  </si>
  <si>
    <t>Utlånsvekst (brutto) siste 12 måneder</t>
  </si>
  <si>
    <t>Innskuddsvekst siste 12 mnd</t>
  </si>
  <si>
    <t xml:space="preserve">Nøkkeltallet gir et bilde på utviklingen i bankens innskuddsvolum og beregnes som innskudd fra kunder ved utløpet av perioden minus innskudd fra kunder ved starten av perioden, dividert på innskudd fra kunder ved starten av perioden. </t>
  </si>
  <si>
    <t>Gjennomsnittlig forvaltningskapital</t>
  </si>
  <si>
    <t>Nøkkeltallet beregnes som et gjennomsnitt av kvartalsvis forvaltningskapital inneværende år.</t>
  </si>
  <si>
    <t>Likviditetsdekning (LCR)</t>
  </si>
  <si>
    <t>Dette er et viktig nøkkeltall i oppfølging av bankens likvidietssituasjon og beregnes som forholdet mellom likvide eiendeler i forhold til netto likviditetsutgang i et 30 dagers alvorlig stresscenario. Oppgis som gjennomsnitt pr år.</t>
  </si>
  <si>
    <t>Brutto utlån inklusive utlån solgt til SB1 Boligkreditt og SB1 Næringskreditt</t>
  </si>
  <si>
    <t>Utlånsvekst (brutto) siste 12 mnd inklusive SB1 Boligkreditt og SB1 Næringskreditt</t>
  </si>
  <si>
    <t>Andel utlån finansiert via innskudd</t>
  </si>
  <si>
    <t>Dette måltallet viser innskuddsdekning tatt hensyn til de utlån om er solgt til SpareBank 1 Boligkreditt og SpareBank 1 Næringskreditt ved utløpet av perioden. Nøkkeltallet beregnes som ovenfor, men inkluderer da utlån solgt til SB1 Boligkreditt og SB1 Næringskreditt.</t>
  </si>
  <si>
    <t>Tapsprosent utlån</t>
  </si>
  <si>
    <t xml:space="preserve">Nøkkeltallet angir resultatført tapskostnad som funksjon av brutto utlån. Tallet beregnes som Tap resultatført i perioden dividert med gjennomsnittlig brutto utlån inneværende år basert på kvartalsvise observasjoner. Ved opplysninger om tapsprosent for kortere perioder enn hele år, blir resultatført tapskostnad annualisert. </t>
  </si>
  <si>
    <t>Tapsprosent utlån inklusive utlån overført til  SB1 Boligkreditt og SB1 Næringskreditt</t>
  </si>
  <si>
    <t xml:space="preserve">Nøkkeltallet angir resultatført tapskostnad som funksjon av brutto utlån inkludert lån overført til kredittforetak. Tallet beregnes som Tap resultatført i perioden dividert med gjennomsnittlig brutto utlån inneværende år basert på kvartalsvise observasjoner, inkludert lån solgt til SB 1 Boligkreditt og SB1 Næringskreditt. Ved opplysninger om tapsprosent for kortere perioder enn hele år, blir resultatført tapskostnad annualisert. </t>
  </si>
  <si>
    <t>Forholdstallet presenteres fordi det gir relevant informasjon om bankens kreditteksponering. Beregnes som sum misligholdte og andre tapsutsatte engasjement dividert med sum utlån inkludert lån solgt til SB1 Boligkreditt og SB1 Næringskreditt ved utløpet av perioden</t>
  </si>
  <si>
    <t>Utlånsmarginen gir informasjon om bankens renteinntekter på utlån til kunder ved å måle rentemarginen relativt til 3 måneders pengemarkedsrente.  Banken benytter kredittforetak som finansieringskilde, og utlånsmarginene er inkludert renteinntekter på utlån solgt til SB1 BK og SB1 NK, da dette best reflekterer bankens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 Snitt utlån er beregnet basert på daglige observasjoner.</t>
  </si>
  <si>
    <t>Innskuddsmarginer målt mot 3 måneders Nibor</t>
  </si>
  <si>
    <t>Innskuddsmargin gir informasjon om bankens netto rentekostnader på innskudd fra kunder ved å måle rentemargin relativt til 3 måneders pengemarkedsrente. Innskuddsmarginen er beregnet som netto rentekostnader på innskudd fratrukket renteinntekter tilsvarende 3 måneders pengemarkedsrente, dividert på snitt innskudd for perioden. Snitt innskudd er beregnet basert på daglige observasjoner.</t>
  </si>
  <si>
    <t>BN Bank</t>
  </si>
  <si>
    <t>Periodens resultat</t>
  </si>
  <si>
    <t>Fratrukket renter hybridkapital</t>
  </si>
  <si>
    <t>Periodens resultat eks. renter hybridkapital</t>
  </si>
  <si>
    <t>Total egenkapital</t>
  </si>
  <si>
    <t>Fratrukket hybridkapital</t>
  </si>
  <si>
    <t>Egenkapital eks. hybridkapital</t>
  </si>
  <si>
    <t>Snitt EK eks. hybridkapital</t>
  </si>
  <si>
    <t>Periodens res. annualisert eksklusive renter hybridkapital</t>
  </si>
  <si>
    <t>Delt på snitt egenkapital eksklusive hybridkapital</t>
  </si>
  <si>
    <t>Egenkapitalavkastning i prosent</t>
  </si>
  <si>
    <t>Netto rente- og kredittprovisjonsinntekter</t>
  </si>
  <si>
    <t>Annualisert beløp</t>
  </si>
  <si>
    <t>Forvaltningskapital</t>
  </si>
  <si>
    <t>Gjennomsnitlig forvaltningskapital</t>
  </si>
  <si>
    <t>Sum driftskostnader</t>
  </si>
  <si>
    <t>Andre inntekter</t>
  </si>
  <si>
    <t>SUM inntekter</t>
  </si>
  <si>
    <t>Innskudd fra og gjeld til kunder</t>
  </si>
  <si>
    <t>Netto utlån til kunder</t>
  </si>
  <si>
    <t>Innskuddsdekning</t>
  </si>
  <si>
    <t>Brutto utlån til kunder ved utgangen av perioden</t>
  </si>
  <si>
    <t>Brutto utlån til kunder ved utgangen av samme periode forrige år</t>
  </si>
  <si>
    <t>Utlånsvekst i millioner kroner</t>
  </si>
  <si>
    <t>Utlånsvekst siste 12 mnd</t>
  </si>
  <si>
    <t>Innskudd fra kunder ved utgangen av perioden</t>
  </si>
  <si>
    <t>Innskudd fra kunder ved utgangen av samme periode forrige år (kvartal)</t>
  </si>
  <si>
    <t>Innskuddsvekst (mill)</t>
  </si>
  <si>
    <t>Gjennomsnittlig forvaltningskapital inneværende år</t>
  </si>
  <si>
    <t>Brutto utlån BN Bank ASA (jfr. note 7)</t>
  </si>
  <si>
    <t>Brutto utlån til kunder inkl SB1 Boligkreditt og SB1 Næringskreditt ved utgangen av perioden</t>
  </si>
  <si>
    <t>Fratrukket brutto utlån til kunder inkl SB1 Boligkreditt og SB1 Næringskreditt ved utgangen samme periode forrige år (kvartal)</t>
  </si>
  <si>
    <t>Utlånsvekst inkl. SB1 Boligkreditt og SB1 Næringskreditt i kr</t>
  </si>
  <si>
    <t>Delt på Brutto utlån til kunder inkl SB1 Boligkreditt og SB1 Næringskreditt ved utgangen samme periode forrige år (kvartal)</t>
  </si>
  <si>
    <t>Netto tapsavsetning</t>
  </si>
  <si>
    <t>Nettoutlån til kunder inkl SB1 Boligkreditt og SB1 Næringskreditt ved utgangen av perioden</t>
  </si>
  <si>
    <t>Innskudd ved utgangen av perioden</t>
  </si>
  <si>
    <t>Andel utlån finansiert via innskudd, inklusive utlån solgt til SB1 Boligkreditt og SB1 Næringskreditt</t>
  </si>
  <si>
    <t>Tap på utlån i resultatet</t>
  </si>
  <si>
    <t>Tap på utlån annualisert</t>
  </si>
  <si>
    <t>Delt på snitt. Brutto utlån til kunder</t>
  </si>
  <si>
    <t>Tapsprosent utlån til kunder</t>
  </si>
  <si>
    <t xml:space="preserve">Delt på brutto utlån til kunder </t>
  </si>
  <si>
    <t xml:space="preserve">Misligholdte engasjement i prosent av brutto utlån </t>
  </si>
  <si>
    <t>Delt på snitt. Brutto utlån til kunder inkl. SB1 Boligkreditt og SB1 Næringskreditt</t>
  </si>
  <si>
    <t>Tapsprosent utlån til kunder, inklusive utlån til SB1 Boligkreditt og SB1 Næringskreditt</t>
  </si>
  <si>
    <t>Delt på brutto utlån til kunder inkl. SB1 Boligkreditt og SB1 Næringskreditt</t>
  </si>
  <si>
    <t>Misligholdte engasjement i prosent av brutto utlån inkl. SB1 Boligkreditt og SB1 Næringskreditt</t>
  </si>
  <si>
    <t>3 måneders Nibor, prosent, gjennomsnitt akkumulert</t>
  </si>
  <si>
    <t>Dager akkumulert</t>
  </si>
  <si>
    <t>Snitt utlånsvolum Bedriftsmarked, bankbalansen, mill kroner</t>
  </si>
  <si>
    <t>Renter på Utlån til Bedriftsmarked, bankbalansen, mill kroner</t>
  </si>
  <si>
    <t>3 måneders pengemarkedsrenter (Nibor), mill kroner</t>
  </si>
  <si>
    <t>Rentemargin, mill kroner</t>
  </si>
  <si>
    <t>Utlånsmargin mot 3 måneders nibor - Næringsliv, prosent</t>
  </si>
  <si>
    <t>Snitt utlånsvolum Personmarked, bankbalansen, mill kroner</t>
  </si>
  <si>
    <t>Renter på Utlån til Personmarked, bankbalansen, mill kroner</t>
  </si>
  <si>
    <t>Utlånsmargin mot 3 måneders nibor - Privatmarked, prosent</t>
  </si>
  <si>
    <t>Snitt innskuddsvolum, mill kroner</t>
  </si>
  <si>
    <t>Rentekostnader og lignende kostnader</t>
  </si>
  <si>
    <t>Renter på ustedte verdipapirer, etc</t>
  </si>
  <si>
    <t>Renter på Innskudd</t>
  </si>
  <si>
    <t>Rentemargin på innskudd, mill kroner</t>
  </si>
  <si>
    <t xml:space="preserve">Innskuddsmargin mot 3 måneders nibor </t>
  </si>
  <si>
    <t>Misligholdte og øvrig tapsutsatte utlån (trinn 3)</t>
  </si>
  <si>
    <t>Egenkapitalrentabilitet gir relevant informasjon om lønnsomheten i BN Bank ved å måle evne til å generere lønnsomhet fra aksjonærens investering. Egenkapitalrentabiliet er et av de viktigste finansielle måltall til BN Bank, og beregnes som aksjonærenes andel av resultatet for perioden delt på gjennomsnittlig egenkapital, fratrukket hybridkapital (fondsobligasjoner klassifisert som egenkapital).</t>
  </si>
  <si>
    <t>Dette er et av de viktigste måltallene for BN Bank og gir informasjon om aktivitet og vekst i bankens utlånsvirksomhet. Nøkkeltallet beregnes som brutto utlån ved utløpet av perioden minus brutto utlån ved starten på perioden delt på brutto utlån ved starten på perioden.</t>
  </si>
  <si>
    <t>For å oppnå en gunstigst finansering av sine utlån selger BN Bank store deler av sine utlån til SB1 Boligkreditt og SB1 Næringskreditt. BN Bank har i henhold til avtalene forvaltningsrett over disse utlånene og sum utlån inklusive de overførte utlånene er viktige måletall for banken. Nøkkeltallet beregnes som brutto utlån i BN Bank pluss brutto utlån i SB1 Boligkreditt pluss brutto utlån i SB1 Næringskreditt.</t>
  </si>
  <si>
    <t xml:space="preserve">Dette er et av de viktigste måltallene for BN Bank og gir informasjon om aktivitet og vekst i bankens totale utlånsvirksomhet inklusive lån solgt til kredittforetakene.  Banken benytter kredittforetakene som finansieringskilde, og dette nøkkeltallet som inkluderer lån solgt til kredittforetakene reflekterer aktiviteten og veksten i den totale utlånsvirksomheten. Nøkkeltallet er beregnet som Brutto utlån inkludert lån solgt til SpareBank 1 Boligkreditt og SpareBank 1 Næringskreditt ved utløpet av perioden minus Brutto utlån inkludert lån solgt til SpareBank 1 Boligkreditt og SpareBank 1 Næringskreditt ved starten av perioden dividert på Brutto utlån inkludert lån solgt til SpareBank 1 Boligkreditt og SpareBank 1 Næringskreditt ved  starten av perioden. </t>
  </si>
  <si>
    <t>Misligholdte og andre tapsutsatte engasjement (trinn 3) i % av brutto utlån</t>
  </si>
  <si>
    <t>Forholdstallet presenteres fordi det gir relevant informasjon om bankens kreditteksponering. Beregnes som sum utlån i trinn 3 dividert med sum utlån ved utløpet av perioden.</t>
  </si>
  <si>
    <t>Misligholdte og andre tapsutsatte engasjement (trinn 3) i % av brutto utlån inklusive utlån overført til  SB1 Boligkreditt og SB1 Næringskreditt</t>
  </si>
  <si>
    <t>Utlånsmargin Bedriftsmarked og Personmarked målt mot 3 måneders Nibor, inkludet utlån solgt til SpareBank 1 Boligkreditt (SB1 BK) og SpareBank 1 Næringskreditt (SB1 NK).</t>
  </si>
  <si>
    <t>Overført til SpareBank 1 Boligkreditt AS (jfr. note 7)</t>
  </si>
  <si>
    <t>Overført til SpareBank 1 Næringskreditt AS (jfr. note 7)</t>
  </si>
  <si>
    <t>Snitt utlånsvolum Bedriftsmarked, SpareBank 1 Næringskreditt, mill kroner</t>
  </si>
  <si>
    <t>Renter på Utlån til Bedriftsmarked, SpareBank 1 Næringskreditt, mill kroner</t>
  </si>
  <si>
    <t>Snitt utlånsvolum Personmarked, SpareBank 1 Boligkreditt, mill kroner</t>
  </si>
  <si>
    <t>Renter på Utlån til Personmarked, SpareBank 1 Boligkreditt, mill kroner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</si>
</sst>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13" x14ac:knownFonts="1">
    <font>
      <sz val="11"/>
      <color theme="1"/>
      <name val="Calibri"/>
      <family val="2"/>
      <scheme val="minor"/>
    </font>
    <font>
      <b/>
      <sz val="11"/>
      <color theme="1"/>
      <name val="Calibri"/>
      <family val="2"/>
      <scheme val="minor"/>
    </font>
    <font>
      <sz val="11"/>
      <name val="Calibri"/>
      <family val="2"/>
      <scheme val="minor"/>
    </font>
    <font>
      <sz val="14"/>
      <color theme="1"/>
      <name val="Calibri"/>
      <family val="2"/>
      <scheme val="minor"/>
    </font>
    <font>
      <sz val="10"/>
      <color rgb="FF000000"/>
      <name val="Arial Narrow"/>
      <family val="2"/>
    </font>
    <font>
      <sz val="11"/>
      <color theme="1"/>
      <name val="Calibri"/>
      <family val="2"/>
      <scheme val="minor"/>
    </font>
    <font>
      <b/>
      <sz val="11"/>
      <name val="Calibri"/>
      <family val="2"/>
      <scheme val="minor"/>
    </font>
    <font>
      <sz val="10"/>
      <name val="Arial"/>
      <family val="2"/>
    </font>
    <font>
      <sz val="11"/>
      <color rgb="FFFF0000"/>
      <name val="Calibri"/>
      <family val="2"/>
      <scheme val="minor"/>
    </font>
    <font>
      <b/>
      <sz val="11"/>
      <color rgb="FFFF0000"/>
      <name val="Calibri"/>
      <family val="2"/>
      <scheme val="minor"/>
    </font>
    <font>
      <sz val="11"/>
      <color theme="1" tint="0.249977111117893"/>
      <name val="Calibri"/>
      <family val="2"/>
      <scheme val="minor"/>
    </font>
    <font>
      <b/>
      <sz val="11"/>
      <color theme="1" tint="0.249977111117893"/>
      <name val="Calibri"/>
      <family val="2"/>
      <scheme val="minor"/>
    </font>
    <font>
      <sz val="11"/>
      <color rgb="FFEE0000"/>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style="thin">
        <color indexed="64"/>
      </left>
      <right/>
      <top/>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top/>
      <bottom style="medium">
        <color indexed="55"/>
      </bottom>
      <diagonal/>
    </border>
  </borders>
  <cellStyleXfs count="4">
    <xf numFmtId="0" fontId="0" fillId="0" borderId="0"/>
    <xf numFmtId="43" fontId="5" fillId="0" borderId="0" applyFont="0" applyFill="0" applyBorder="0" applyAlignment="0" applyProtection="0"/>
    <xf numFmtId="9" fontId="5" fillId="0" borderId="0" applyFont="0" applyFill="0" applyBorder="0" applyAlignment="0" applyProtection="0"/>
    <xf numFmtId="0" fontId="7" fillId="0" borderId="0"/>
  </cellStyleXfs>
  <cellXfs count="76">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2" fillId="2" borderId="0" xfId="0" applyFont="1" applyFill="1"/>
    <xf numFmtId="0" fontId="2" fillId="3" borderId="0" xfId="0" applyFont="1" applyFill="1"/>
    <xf numFmtId="0" fontId="2" fillId="2" borderId="0" xfId="0" applyFont="1" applyFill="1" applyAlignment="1">
      <alignment wrapText="1"/>
    </xf>
    <xf numFmtId="0" fontId="3" fillId="0" borderId="0" xfId="0" applyFont="1"/>
    <xf numFmtId="0" fontId="4" fillId="0" borderId="0" xfId="0" applyFont="1"/>
    <xf numFmtId="0" fontId="4" fillId="0" borderId="0" xfId="0" applyFont="1" applyAlignment="1">
      <alignment horizontal="left" vertical="center"/>
    </xf>
    <xf numFmtId="0" fontId="0" fillId="0" borderId="0" xfId="0" applyAlignment="1">
      <alignment wrapText="1"/>
    </xf>
    <xf numFmtId="164" fontId="2" fillId="0" borderId="1" xfId="1" applyNumberFormat="1" applyFont="1" applyBorder="1"/>
    <xf numFmtId="0" fontId="0" fillId="0" borderId="1" xfId="0" applyBorder="1" applyAlignment="1">
      <alignment wrapText="1"/>
    </xf>
    <xf numFmtId="0" fontId="1" fillId="0" borderId="1" xfId="0" applyFont="1" applyBorder="1"/>
    <xf numFmtId="0" fontId="1" fillId="5" borderId="4" xfId="0" applyFont="1" applyFill="1" applyBorder="1" applyAlignment="1">
      <alignment wrapText="1"/>
    </xf>
    <xf numFmtId="0" fontId="1" fillId="5" borderId="3" xfId="0" applyFont="1" applyFill="1" applyBorder="1" applyAlignment="1">
      <alignment wrapText="1"/>
    </xf>
    <xf numFmtId="165" fontId="6" fillId="4" borderId="3" xfId="2" applyNumberFormat="1" applyFont="1" applyFill="1" applyBorder="1"/>
    <xf numFmtId="0" fontId="8" fillId="0" borderId="0" xfId="0" applyFont="1"/>
    <xf numFmtId="43" fontId="8" fillId="0" borderId="0" xfId="0" applyNumberFormat="1" applyFont="1"/>
    <xf numFmtId="165" fontId="6" fillId="5" borderId="3" xfId="2" applyNumberFormat="1" applyFont="1" applyFill="1" applyBorder="1"/>
    <xf numFmtId="10" fontId="6" fillId="5" borderId="4" xfId="2" applyNumberFormat="1" applyFont="1" applyFill="1" applyBorder="1"/>
    <xf numFmtId="10" fontId="6" fillId="5" borderId="3" xfId="2" applyNumberFormat="1" applyFont="1" applyFill="1" applyBorder="1"/>
    <xf numFmtId="0" fontId="2" fillId="0" borderId="0" xfId="0" applyFont="1"/>
    <xf numFmtId="14" fontId="6" fillId="0" borderId="1" xfId="0" applyNumberFormat="1" applyFont="1" applyBorder="1" applyAlignment="1">
      <alignment wrapText="1"/>
    </xf>
    <xf numFmtId="164" fontId="2" fillId="0" borderId="0" xfId="1" applyNumberFormat="1" applyFont="1" applyFill="1"/>
    <xf numFmtId="164" fontId="8" fillId="0" borderId="0" xfId="1" applyNumberFormat="1" applyFont="1" applyFill="1"/>
    <xf numFmtId="165" fontId="6" fillId="5" borderId="4" xfId="2" applyNumberFormat="1" applyFont="1" applyFill="1" applyBorder="1"/>
    <xf numFmtId="0" fontId="0" fillId="0" borderId="2" xfId="0" applyBorder="1"/>
    <xf numFmtId="0" fontId="0" fillId="0" borderId="1" xfId="0" applyBorder="1"/>
    <xf numFmtId="0" fontId="1" fillId="5" borderId="4" xfId="0" applyFont="1" applyFill="1" applyBorder="1"/>
    <xf numFmtId="0" fontId="1" fillId="5" borderId="3" xfId="0" applyFont="1" applyFill="1" applyBorder="1"/>
    <xf numFmtId="9" fontId="6" fillId="5" borderId="4" xfId="2" applyFont="1" applyFill="1" applyBorder="1" applyAlignment="1"/>
    <xf numFmtId="0" fontId="2" fillId="0" borderId="1" xfId="0" applyFont="1" applyBorder="1"/>
    <xf numFmtId="10" fontId="2" fillId="0" borderId="0" xfId="2" applyNumberFormat="1" applyFont="1"/>
    <xf numFmtId="0" fontId="1" fillId="0" borderId="5" xfId="0" applyFont="1" applyBorder="1"/>
    <xf numFmtId="165" fontId="6" fillId="0" borderId="5" xfId="2" applyNumberFormat="1" applyFont="1" applyFill="1" applyBorder="1"/>
    <xf numFmtId="165" fontId="9" fillId="0" borderId="5" xfId="2" applyNumberFormat="1" applyFont="1" applyFill="1" applyBorder="1"/>
    <xf numFmtId="0" fontId="10" fillId="0" borderId="0" xfId="0" applyFont="1"/>
    <xf numFmtId="10" fontId="10" fillId="0" borderId="0" xfId="2" applyNumberFormat="1" applyFont="1"/>
    <xf numFmtId="0" fontId="2" fillId="2" borderId="6" xfId="0" applyFont="1" applyFill="1" applyBorder="1"/>
    <xf numFmtId="164" fontId="6" fillId="5" borderId="4" xfId="1" applyNumberFormat="1" applyFont="1" applyFill="1" applyBorder="1"/>
    <xf numFmtId="0" fontId="6" fillId="0" borderId="0" xfId="0" applyFont="1"/>
    <xf numFmtId="10" fontId="11" fillId="0" borderId="0" xfId="2" applyNumberFormat="1" applyFont="1" applyFill="1" applyBorder="1"/>
    <xf numFmtId="10" fontId="6" fillId="0" borderId="0" xfId="2" applyNumberFormat="1" applyFont="1" applyFill="1" applyBorder="1"/>
    <xf numFmtId="4" fontId="10" fillId="0" borderId="0" xfId="0" applyNumberFormat="1" applyFont="1"/>
    <xf numFmtId="4" fontId="2" fillId="0" borderId="0" xfId="0" applyNumberFormat="1" applyFont="1"/>
    <xf numFmtId="10" fontId="10" fillId="0" borderId="0" xfId="2" applyNumberFormat="1" applyFont="1" applyFill="1"/>
    <xf numFmtId="10" fontId="2" fillId="0" borderId="0" xfId="2" applyNumberFormat="1" applyFont="1" applyFill="1"/>
    <xf numFmtId="164" fontId="10" fillId="0" borderId="0" xfId="1" applyNumberFormat="1" applyFont="1" applyFill="1"/>
    <xf numFmtId="164" fontId="10" fillId="0" borderId="1" xfId="1" applyNumberFormat="1" applyFont="1" applyFill="1" applyBorder="1"/>
    <xf numFmtId="10" fontId="2" fillId="6" borderId="0" xfId="2" applyNumberFormat="1" applyFont="1" applyFill="1"/>
    <xf numFmtId="14" fontId="8" fillId="0" borderId="0" xfId="0" applyNumberFormat="1" applyFont="1"/>
    <xf numFmtId="164" fontId="8" fillId="0" borderId="0" xfId="0" applyNumberFormat="1" applyFont="1"/>
    <xf numFmtId="164" fontId="2" fillId="3" borderId="0" xfId="1" applyNumberFormat="1" applyFont="1" applyFill="1"/>
    <xf numFmtId="164" fontId="2" fillId="0" borderId="1" xfId="1" applyNumberFormat="1" applyFont="1" applyFill="1" applyBorder="1"/>
    <xf numFmtId="164" fontId="2" fillId="0" borderId="1" xfId="0" applyNumberFormat="1" applyFont="1" applyBorder="1"/>
    <xf numFmtId="164" fontId="2" fillId="0" borderId="0" xfId="1" applyNumberFormat="1" applyFont="1" applyFill="1" applyBorder="1"/>
    <xf numFmtId="164" fontId="2" fillId="0" borderId="0" xfId="0" applyNumberFormat="1" applyFont="1"/>
    <xf numFmtId="164" fontId="8" fillId="0" borderId="0" xfId="1" applyNumberFormat="1" applyFont="1" applyFill="1" applyBorder="1"/>
    <xf numFmtId="0" fontId="0" fillId="3" borderId="0" xfId="0" applyFill="1"/>
    <xf numFmtId="164" fontId="2" fillId="0" borderId="0" xfId="1" applyNumberFormat="1" applyFont="1"/>
    <xf numFmtId="164" fontId="8" fillId="0" borderId="0" xfId="1" applyNumberFormat="1" applyFont="1"/>
    <xf numFmtId="165" fontId="9" fillId="0" borderId="5" xfId="2" applyNumberFormat="1" applyFont="1" applyBorder="1"/>
    <xf numFmtId="164" fontId="10" fillId="0" borderId="0" xfId="1" applyNumberFormat="1" applyFont="1"/>
    <xf numFmtId="10" fontId="8" fillId="6" borderId="0" xfId="2" applyNumberFormat="1" applyFont="1" applyFill="1"/>
    <xf numFmtId="10" fontId="8" fillId="0" borderId="0" xfId="2" applyNumberFormat="1" applyFont="1"/>
    <xf numFmtId="14" fontId="2" fillId="0" borderId="0" xfId="0" applyNumberFormat="1" applyFont="1"/>
    <xf numFmtId="165" fontId="6" fillId="0" borderId="5" xfId="2" applyNumberFormat="1" applyFont="1" applyBorder="1"/>
    <xf numFmtId="0" fontId="6" fillId="5" borderId="4" xfId="0" applyFont="1" applyFill="1" applyBorder="1" applyAlignment="1">
      <alignment wrapText="1"/>
    </xf>
    <xf numFmtId="0" fontId="2" fillId="0" borderId="1" xfId="0" applyFont="1" applyBorder="1" applyAlignment="1">
      <alignment wrapText="1"/>
    </xf>
    <xf numFmtId="0" fontId="6" fillId="5" borderId="3" xfId="0" applyFont="1" applyFill="1" applyBorder="1" applyAlignment="1">
      <alignment wrapText="1"/>
    </xf>
    <xf numFmtId="10" fontId="8" fillId="0" borderId="0" xfId="0" applyNumberFormat="1" applyFont="1"/>
    <xf numFmtId="0" fontId="1" fillId="4" borderId="3" xfId="0" applyFont="1" applyFill="1" applyBorder="1"/>
    <xf numFmtId="10" fontId="2" fillId="0" borderId="0" xfId="0" applyNumberFormat="1" applyFont="1"/>
    <xf numFmtId="10" fontId="12" fillId="6" borderId="0" xfId="2" applyNumberFormat="1" applyFont="1" applyFill="1"/>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2">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1" indent="0" justifyLastLine="0" shrinkToFit="0" readingOrder="0"/>
      <border diagonalUp="0" diagonalDown="0" outline="0">
        <left/>
        <right/>
        <top/>
        <bottom style="medium">
          <color indexed="55"/>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22" totalsRowShown="0">
  <autoFilter ref="A5:B22" xr:uid="{00000000-0009-0000-0100-000001000000}"/>
  <tableColumns count="2">
    <tableColumn id="1" xr3:uid="{00000000-0010-0000-0000-000001000000}" name="Alternative resultatmål i BN Bank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zoomScaleNormal="100" workbookViewId="0"/>
  </sheetViews>
  <sheetFormatPr baseColWidth="10" defaultColWidth="11.44140625" defaultRowHeight="14.4" x14ac:dyDescent="0.3"/>
  <cols>
    <col min="1" max="1" width="54.88671875" customWidth="1"/>
    <col min="2" max="2" width="112.109375" customWidth="1"/>
  </cols>
  <sheetData>
    <row r="1" spans="1:3" ht="18" x14ac:dyDescent="0.35">
      <c r="A1" s="7" t="s">
        <v>0</v>
      </c>
    </row>
    <row r="2" spans="1:3" s="2" customFormat="1" ht="54.75" customHeight="1" x14ac:dyDescent="0.3">
      <c r="A2" s="75" t="s">
        <v>1</v>
      </c>
      <c r="B2" s="75"/>
    </row>
    <row r="3" spans="1:3" ht="33" customHeight="1" x14ac:dyDescent="0.3">
      <c r="A3" s="75" t="s">
        <v>2</v>
      </c>
      <c r="B3" s="75"/>
    </row>
    <row r="4" spans="1:3" ht="33" customHeight="1" x14ac:dyDescent="0.3">
      <c r="A4" s="1"/>
      <c r="B4" s="1"/>
    </row>
    <row r="5" spans="1:3" x14ac:dyDescent="0.3">
      <c r="A5" s="3" t="s">
        <v>3</v>
      </c>
      <c r="B5" s="3" t="s">
        <v>4</v>
      </c>
    </row>
    <row r="6" spans="1:3" ht="60" customHeight="1" x14ac:dyDescent="0.3">
      <c r="A6" s="4" t="s">
        <v>5</v>
      </c>
      <c r="B6" s="1" t="s">
        <v>96</v>
      </c>
    </row>
    <row r="7" spans="1:3" ht="44.25" customHeight="1" x14ac:dyDescent="0.3">
      <c r="A7" s="5" t="s">
        <v>6</v>
      </c>
      <c r="B7" s="1" t="s">
        <v>7</v>
      </c>
    </row>
    <row r="8" spans="1:3" ht="42.75" customHeight="1" x14ac:dyDescent="0.3">
      <c r="A8" s="4" t="s">
        <v>8</v>
      </c>
      <c r="B8" s="1" t="s">
        <v>9</v>
      </c>
    </row>
    <row r="9" spans="1:3" ht="33" customHeight="1" x14ac:dyDescent="0.3">
      <c r="A9" s="4" t="s">
        <v>10</v>
      </c>
      <c r="B9" s="1" t="s">
        <v>11</v>
      </c>
      <c r="C9" s="1"/>
    </row>
    <row r="10" spans="1:3" ht="47.25" customHeight="1" thickBot="1" x14ac:dyDescent="0.35">
      <c r="A10" s="39" t="s">
        <v>12</v>
      </c>
      <c r="B10" s="1" t="s">
        <v>97</v>
      </c>
      <c r="C10" s="1"/>
    </row>
    <row r="11" spans="1:3" ht="47.25" customHeight="1" x14ac:dyDescent="0.3">
      <c r="A11" s="6" t="s">
        <v>13</v>
      </c>
      <c r="B11" s="1" t="s">
        <v>14</v>
      </c>
      <c r="C11" s="1"/>
    </row>
    <row r="12" spans="1:3" x14ac:dyDescent="0.3">
      <c r="A12" s="6" t="s">
        <v>15</v>
      </c>
      <c r="B12" s="1" t="s">
        <v>16</v>
      </c>
    </row>
    <row r="13" spans="1:3" ht="29.4" thickBot="1" x14ac:dyDescent="0.35">
      <c r="A13" s="39" t="s">
        <v>17</v>
      </c>
      <c r="B13" s="1" t="s">
        <v>18</v>
      </c>
    </row>
    <row r="14" spans="1:3" ht="43.2" x14ac:dyDescent="0.3">
      <c r="A14" s="6" t="s">
        <v>19</v>
      </c>
      <c r="B14" s="1" t="s">
        <v>98</v>
      </c>
    </row>
    <row r="15" spans="1:3" ht="86.4" x14ac:dyDescent="0.3">
      <c r="A15" s="6" t="s">
        <v>20</v>
      </c>
      <c r="B15" s="1" t="s">
        <v>99</v>
      </c>
    </row>
    <row r="16" spans="1:3" ht="28.8" x14ac:dyDescent="0.3">
      <c r="A16" s="6" t="s">
        <v>21</v>
      </c>
      <c r="B16" s="1" t="s">
        <v>22</v>
      </c>
    </row>
    <row r="17" spans="1:2" ht="43.2" x14ac:dyDescent="0.3">
      <c r="A17" s="4" t="s">
        <v>23</v>
      </c>
      <c r="B17" s="1" t="s">
        <v>24</v>
      </c>
    </row>
    <row r="18" spans="1:2" ht="47.25" customHeight="1" x14ac:dyDescent="0.3">
      <c r="A18" s="6" t="s">
        <v>100</v>
      </c>
      <c r="B18" s="1" t="s">
        <v>101</v>
      </c>
    </row>
    <row r="19" spans="1:2" ht="57.6" x14ac:dyDescent="0.3">
      <c r="A19" s="6" t="s">
        <v>25</v>
      </c>
      <c r="B19" s="1" t="s">
        <v>26</v>
      </c>
    </row>
    <row r="20" spans="1:2" ht="46.5" customHeight="1" x14ac:dyDescent="0.3">
      <c r="A20" s="6" t="s">
        <v>102</v>
      </c>
      <c r="B20" s="1" t="s">
        <v>27</v>
      </c>
    </row>
    <row r="21" spans="1:2" ht="86.4" x14ac:dyDescent="0.3">
      <c r="A21" s="6" t="s">
        <v>103</v>
      </c>
      <c r="B21" s="1" t="s">
        <v>28</v>
      </c>
    </row>
    <row r="22" spans="1:2" ht="57.6" x14ac:dyDescent="0.3">
      <c r="A22" s="4" t="s">
        <v>29</v>
      </c>
      <c r="B22" s="1" t="s">
        <v>30</v>
      </c>
    </row>
    <row r="23" spans="1:2" x14ac:dyDescent="0.3">
      <c r="A23" s="8"/>
    </row>
    <row r="24" spans="1:2" x14ac:dyDescent="0.3">
      <c r="A24" s="8"/>
    </row>
    <row r="25" spans="1:2" x14ac:dyDescent="0.3">
      <c r="A25" s="9"/>
    </row>
  </sheetData>
  <mergeCells count="2">
    <mergeCell ref="A2:B2"/>
    <mergeCell ref="A3:B3"/>
  </mergeCells>
  <pageMargins left="0.7" right="0.7" top="0.75" bottom="0.75" header="0.3" footer="0.3"/>
  <pageSetup paperSize="9" scale="5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37"/>
  <sheetViews>
    <sheetView tabSelected="1" zoomScale="90" zoomScaleNormal="90" workbookViewId="0">
      <pane xSplit="1" ySplit="1" topLeftCell="B2" activePane="bottomRight" state="frozen"/>
      <selection pane="topRight" activeCell="B1" activeCellId="1" sqref="B3 B1:B1048576"/>
      <selection pane="bottomLeft" activeCell="B1" activeCellId="1" sqref="B3 B1:B1048576"/>
      <selection pane="bottomRight" activeCell="B2" sqref="B2"/>
    </sheetView>
  </sheetViews>
  <sheetFormatPr baseColWidth="10" defaultColWidth="11.44140625" defaultRowHeight="14.4" x14ac:dyDescent="0.3"/>
  <cols>
    <col min="1" max="1" width="74.44140625" customWidth="1"/>
    <col min="2" max="5" width="18" style="22" customWidth="1"/>
    <col min="6" max="25" width="18" style="17" customWidth="1"/>
    <col min="26" max="26" width="18" style="22" customWidth="1"/>
    <col min="27" max="27" width="11.44140625" customWidth="1"/>
  </cols>
  <sheetData>
    <row r="1" spans="1:27" s="13" customFormat="1" x14ac:dyDescent="0.3">
      <c r="A1" s="13" t="s">
        <v>31</v>
      </c>
      <c r="B1" s="23">
        <v>46022</v>
      </c>
      <c r="C1" s="23">
        <v>45930</v>
      </c>
      <c r="D1" s="23">
        <v>45838</v>
      </c>
      <c r="E1" s="23">
        <v>45747</v>
      </c>
      <c r="F1" s="23">
        <v>45657</v>
      </c>
      <c r="G1" s="23">
        <v>45565</v>
      </c>
      <c r="H1" s="23">
        <v>45473</v>
      </c>
      <c r="I1" s="23">
        <v>45382</v>
      </c>
      <c r="J1" s="23">
        <v>45291</v>
      </c>
      <c r="K1" s="23">
        <v>45199</v>
      </c>
      <c r="L1" s="23">
        <v>45107</v>
      </c>
      <c r="M1" s="23">
        <v>45016</v>
      </c>
      <c r="N1" s="23">
        <v>44926</v>
      </c>
      <c r="O1" s="23">
        <v>44834</v>
      </c>
      <c r="P1" s="23">
        <v>44742</v>
      </c>
      <c r="Q1" s="23">
        <v>44651</v>
      </c>
      <c r="R1" s="23">
        <v>44561</v>
      </c>
      <c r="S1" s="23">
        <v>44469</v>
      </c>
      <c r="T1" s="23">
        <v>44377</v>
      </c>
      <c r="U1" s="23">
        <v>44286</v>
      </c>
      <c r="V1" s="23">
        <v>44196</v>
      </c>
      <c r="W1" s="23">
        <v>44104</v>
      </c>
      <c r="X1" s="23">
        <v>44012</v>
      </c>
      <c r="Y1" s="23">
        <v>43921</v>
      </c>
      <c r="Z1" s="23">
        <v>43830</v>
      </c>
      <c r="AA1" s="28"/>
    </row>
    <row r="2" spans="1:27" x14ac:dyDescent="0.3">
      <c r="F2" s="22"/>
      <c r="G2" s="22"/>
      <c r="H2" s="22"/>
      <c r="I2" s="22"/>
      <c r="J2" s="22"/>
      <c r="K2" s="22"/>
      <c r="L2" s="22"/>
      <c r="M2" s="22"/>
      <c r="N2" s="22"/>
      <c r="P2" s="22"/>
    </row>
    <row r="3" spans="1:27" x14ac:dyDescent="0.3">
      <c r="A3" s="27"/>
      <c r="F3" s="22"/>
      <c r="G3" s="22"/>
      <c r="H3" s="22"/>
      <c r="I3" s="22"/>
      <c r="J3" s="22"/>
      <c r="K3" s="22"/>
      <c r="L3" s="22"/>
      <c r="M3" s="22"/>
      <c r="N3" s="22"/>
      <c r="P3" s="22"/>
      <c r="U3" s="52"/>
    </row>
    <row r="4" spans="1:27" x14ac:dyDescent="0.3">
      <c r="A4" t="s">
        <v>32</v>
      </c>
      <c r="B4" s="60">
        <v>873</v>
      </c>
      <c r="C4" s="60">
        <v>685</v>
      </c>
      <c r="D4" s="60">
        <v>475</v>
      </c>
      <c r="E4" s="60">
        <v>221</v>
      </c>
      <c r="F4" s="60">
        <v>902</v>
      </c>
      <c r="G4" s="60">
        <v>696</v>
      </c>
      <c r="H4" s="60">
        <v>467</v>
      </c>
      <c r="I4" s="60">
        <v>247</v>
      </c>
      <c r="J4" s="60">
        <v>764</v>
      </c>
      <c r="K4" s="60">
        <v>546</v>
      </c>
      <c r="L4" s="60">
        <v>354</v>
      </c>
      <c r="M4" s="60">
        <v>183</v>
      </c>
      <c r="N4" s="60">
        <v>595</v>
      </c>
      <c r="O4" s="60">
        <v>435</v>
      </c>
      <c r="P4" s="60">
        <v>281</v>
      </c>
      <c r="Q4" s="60">
        <v>143</v>
      </c>
      <c r="R4" s="56">
        <v>478</v>
      </c>
      <c r="S4" s="56">
        <v>356</v>
      </c>
      <c r="T4" s="56">
        <v>239</v>
      </c>
      <c r="U4" s="56">
        <v>117</v>
      </c>
      <c r="V4" s="56">
        <v>354</v>
      </c>
      <c r="W4" s="56">
        <v>249</v>
      </c>
      <c r="X4" s="56">
        <v>150</v>
      </c>
      <c r="Y4" s="56">
        <v>69</v>
      </c>
      <c r="Z4" s="56">
        <v>327</v>
      </c>
    </row>
    <row r="5" spans="1:27" x14ac:dyDescent="0.3">
      <c r="A5" s="28" t="s">
        <v>33</v>
      </c>
      <c r="B5" s="11">
        <v>42</v>
      </c>
      <c r="C5" s="11">
        <v>31.51</v>
      </c>
      <c r="D5" s="11">
        <v>21</v>
      </c>
      <c r="E5" s="11">
        <v>10</v>
      </c>
      <c r="F5" s="11">
        <v>42</v>
      </c>
      <c r="G5" s="11">
        <v>31.597541990000003</v>
      </c>
      <c r="H5" s="11">
        <v>20.735598150000001</v>
      </c>
      <c r="I5" s="11">
        <v>10</v>
      </c>
      <c r="J5" s="11">
        <v>32</v>
      </c>
      <c r="K5" s="11">
        <v>24</v>
      </c>
      <c r="L5" s="11">
        <v>16</v>
      </c>
      <c r="M5" s="11">
        <v>8</v>
      </c>
      <c r="N5" s="11">
        <v>17</v>
      </c>
      <c r="O5" s="11">
        <v>11.3946057</v>
      </c>
      <c r="P5" s="11">
        <v>6.9135794300000004</v>
      </c>
      <c r="Q5" s="11">
        <v>3.43107096</v>
      </c>
      <c r="R5" s="54">
        <v>10</v>
      </c>
      <c r="S5" s="54">
        <v>7</v>
      </c>
      <c r="T5" s="54">
        <v>5</v>
      </c>
      <c r="U5" s="54">
        <v>2</v>
      </c>
      <c r="V5" s="54">
        <v>11</v>
      </c>
      <c r="W5" s="54">
        <v>8</v>
      </c>
      <c r="X5" s="54">
        <v>6</v>
      </c>
      <c r="Y5" s="54">
        <v>3</v>
      </c>
      <c r="Z5" s="54">
        <v>14</v>
      </c>
    </row>
    <row r="6" spans="1:27" x14ac:dyDescent="0.3">
      <c r="A6" t="s">
        <v>34</v>
      </c>
      <c r="B6" s="60">
        <f>B4-B5</f>
        <v>831</v>
      </c>
      <c r="C6" s="60">
        <f>C4-C5</f>
        <v>653.49</v>
      </c>
      <c r="D6" s="60">
        <f t="shared" ref="D6" si="0">D4-D5</f>
        <v>454</v>
      </c>
      <c r="E6" s="60">
        <f t="shared" ref="E6:F6" si="1">E4-E5</f>
        <v>211</v>
      </c>
      <c r="F6" s="60">
        <f t="shared" si="1"/>
        <v>860</v>
      </c>
      <c r="G6" s="60">
        <f t="shared" ref="G6:L6" si="2">G4-G5</f>
        <v>664.40245801000003</v>
      </c>
      <c r="H6" s="60">
        <f t="shared" si="2"/>
        <v>446.26440185000001</v>
      </c>
      <c r="I6" s="60">
        <f t="shared" si="2"/>
        <v>237</v>
      </c>
      <c r="J6" s="60">
        <f t="shared" si="2"/>
        <v>732</v>
      </c>
      <c r="K6" s="60">
        <f t="shared" si="2"/>
        <v>522</v>
      </c>
      <c r="L6" s="60">
        <f t="shared" si="2"/>
        <v>338</v>
      </c>
      <c r="M6" s="60">
        <f t="shared" ref="M6:R6" si="3">M4-M5</f>
        <v>175</v>
      </c>
      <c r="N6" s="60">
        <f t="shared" si="3"/>
        <v>578</v>
      </c>
      <c r="O6" s="60">
        <f t="shared" si="3"/>
        <v>423.6053943</v>
      </c>
      <c r="P6" s="60">
        <f t="shared" si="3"/>
        <v>274.08642056999997</v>
      </c>
      <c r="Q6" s="60">
        <f t="shared" si="3"/>
        <v>139.56892904</v>
      </c>
      <c r="R6" s="56">
        <f t="shared" si="3"/>
        <v>468</v>
      </c>
      <c r="S6" s="56">
        <v>349</v>
      </c>
      <c r="T6" s="56">
        <v>234</v>
      </c>
      <c r="U6" s="56">
        <v>115</v>
      </c>
      <c r="V6" s="56">
        <f t="shared" ref="V6:Z6" si="4">V4-V5</f>
        <v>343</v>
      </c>
      <c r="W6" s="56">
        <f t="shared" si="4"/>
        <v>241</v>
      </c>
      <c r="X6" s="56">
        <f t="shared" si="4"/>
        <v>144</v>
      </c>
      <c r="Y6" s="56">
        <f t="shared" si="4"/>
        <v>66</v>
      </c>
      <c r="Z6" s="56">
        <f t="shared" si="4"/>
        <v>313</v>
      </c>
    </row>
    <row r="7" spans="1:27" x14ac:dyDescent="0.3">
      <c r="B7" s="60"/>
      <c r="C7" s="60"/>
      <c r="D7" s="60"/>
      <c r="E7" s="60"/>
      <c r="F7" s="60"/>
      <c r="G7" s="60"/>
      <c r="H7" s="60"/>
      <c r="I7" s="60"/>
      <c r="J7" s="60"/>
      <c r="K7" s="60"/>
      <c r="L7" s="60"/>
      <c r="M7" s="60"/>
      <c r="N7" s="60"/>
      <c r="O7" s="61"/>
      <c r="P7" s="60"/>
      <c r="Q7" s="60"/>
      <c r="R7" s="56"/>
      <c r="S7" s="56"/>
      <c r="T7" s="56"/>
      <c r="U7" s="56"/>
      <c r="V7" s="58"/>
      <c r="W7" s="58"/>
      <c r="X7" s="58"/>
      <c r="Y7" s="56"/>
      <c r="Z7" s="56"/>
    </row>
    <row r="8" spans="1:27" x14ac:dyDescent="0.3">
      <c r="A8" t="s">
        <v>35</v>
      </c>
      <c r="B8" s="60">
        <v>7185</v>
      </c>
      <c r="C8" s="60">
        <v>7007</v>
      </c>
      <c r="D8" s="60">
        <v>6819</v>
      </c>
      <c r="E8" s="60">
        <v>6577</v>
      </c>
      <c r="F8" s="60">
        <v>7110</v>
      </c>
      <c r="G8" s="60">
        <v>6910</v>
      </c>
      <c r="H8" s="60">
        <v>6684</v>
      </c>
      <c r="I8" s="60">
        <v>6473</v>
      </c>
      <c r="J8" s="60">
        <v>6028</v>
      </c>
      <c r="K8" s="60">
        <v>5943</v>
      </c>
      <c r="L8" s="60">
        <v>5758</v>
      </c>
      <c r="M8" s="60">
        <v>5792</v>
      </c>
      <c r="N8" s="60">
        <v>5499</v>
      </c>
      <c r="O8" s="60">
        <v>5343.5</v>
      </c>
      <c r="P8" s="60">
        <v>5188</v>
      </c>
      <c r="Q8" s="60">
        <v>5255</v>
      </c>
      <c r="R8" s="56">
        <v>5017.25</v>
      </c>
      <c r="S8" s="56">
        <v>4896</v>
      </c>
      <c r="T8" s="56">
        <v>4782</v>
      </c>
      <c r="U8" s="56">
        <v>4664</v>
      </c>
      <c r="V8" s="56">
        <v>4549</v>
      </c>
      <c r="W8" s="56">
        <v>4444</v>
      </c>
      <c r="X8" s="56">
        <v>4342</v>
      </c>
      <c r="Y8" s="56">
        <v>4259</v>
      </c>
      <c r="Z8" s="56">
        <v>4297</v>
      </c>
    </row>
    <row r="9" spans="1:27" x14ac:dyDescent="0.3">
      <c r="A9" s="28" t="s">
        <v>36</v>
      </c>
      <c r="B9" s="11">
        <v>525</v>
      </c>
      <c r="C9" s="11">
        <v>525</v>
      </c>
      <c r="D9" s="11">
        <v>525</v>
      </c>
      <c r="E9" s="11">
        <v>525</v>
      </c>
      <c r="F9" s="11">
        <v>525</v>
      </c>
      <c r="G9" s="11">
        <v>525</v>
      </c>
      <c r="H9" s="11">
        <v>525</v>
      </c>
      <c r="I9" s="11">
        <v>525</v>
      </c>
      <c r="J9" s="11">
        <v>325</v>
      </c>
      <c r="K9" s="11">
        <v>444</v>
      </c>
      <c r="L9" s="11">
        <v>444</v>
      </c>
      <c r="M9" s="11">
        <v>444</v>
      </c>
      <c r="N9" s="11">
        <v>325</v>
      </c>
      <c r="O9" s="11">
        <v>325</v>
      </c>
      <c r="P9" s="11">
        <v>325</v>
      </c>
      <c r="Q9" s="11">
        <v>325</v>
      </c>
      <c r="R9" s="54">
        <v>225</v>
      </c>
      <c r="S9" s="54">
        <v>225</v>
      </c>
      <c r="T9" s="54">
        <v>225</v>
      </c>
      <c r="U9" s="54">
        <v>225</v>
      </c>
      <c r="V9" s="54">
        <v>226</v>
      </c>
      <c r="W9" s="54">
        <v>226</v>
      </c>
      <c r="X9" s="54">
        <v>226</v>
      </c>
      <c r="Y9" s="54">
        <v>227</v>
      </c>
      <c r="Z9" s="54">
        <v>227</v>
      </c>
    </row>
    <row r="10" spans="1:27" x14ac:dyDescent="0.3">
      <c r="A10" t="s">
        <v>37</v>
      </c>
      <c r="B10" s="60">
        <f>B8-B9</f>
        <v>6660</v>
      </c>
      <c r="C10" s="60">
        <f>C8-C9</f>
        <v>6482</v>
      </c>
      <c r="D10" s="60">
        <f t="shared" ref="D10:E10" si="5">D8-D9</f>
        <v>6294</v>
      </c>
      <c r="E10" s="60">
        <f t="shared" si="5"/>
        <v>6052</v>
      </c>
      <c r="F10" s="60">
        <f t="shared" ref="F10:G10" si="6">F8-F9</f>
        <v>6585</v>
      </c>
      <c r="G10" s="60">
        <f t="shared" si="6"/>
        <v>6385</v>
      </c>
      <c r="H10" s="60">
        <f t="shared" ref="H10:I10" si="7">H8-H9</f>
        <v>6159</v>
      </c>
      <c r="I10" s="60">
        <f t="shared" si="7"/>
        <v>5948</v>
      </c>
      <c r="J10" s="60">
        <f t="shared" ref="J10:K10" si="8">J8-J9</f>
        <v>5703</v>
      </c>
      <c r="K10" s="60">
        <f t="shared" si="8"/>
        <v>5499</v>
      </c>
      <c r="L10" s="60">
        <f t="shared" ref="L10:Q10" si="9">L8-L9</f>
        <v>5314</v>
      </c>
      <c r="M10" s="60">
        <f t="shared" si="9"/>
        <v>5348</v>
      </c>
      <c r="N10" s="60">
        <f t="shared" si="9"/>
        <v>5174</v>
      </c>
      <c r="O10" s="60">
        <f t="shared" si="9"/>
        <v>5018.5</v>
      </c>
      <c r="P10" s="60">
        <f t="shared" si="9"/>
        <v>4863</v>
      </c>
      <c r="Q10" s="60">
        <f t="shared" si="9"/>
        <v>4930</v>
      </c>
      <c r="R10" s="56">
        <f t="shared" ref="R10" si="10">R8-R9</f>
        <v>4792.25</v>
      </c>
      <c r="S10" s="56">
        <v>4671</v>
      </c>
      <c r="T10" s="56">
        <v>4557</v>
      </c>
      <c r="U10" s="56">
        <v>4439</v>
      </c>
      <c r="V10" s="56">
        <f t="shared" ref="V10" si="11">V8-V9</f>
        <v>4323</v>
      </c>
      <c r="W10" s="56">
        <f t="shared" ref="W10" si="12">W8-W9</f>
        <v>4218</v>
      </c>
      <c r="X10" s="56">
        <f t="shared" ref="X10:Z10" si="13">X8-X9</f>
        <v>4116</v>
      </c>
      <c r="Y10" s="56">
        <f t="shared" si="13"/>
        <v>4032</v>
      </c>
      <c r="Z10" s="56">
        <f t="shared" si="13"/>
        <v>4070</v>
      </c>
    </row>
    <row r="11" spans="1:27" x14ac:dyDescent="0.3">
      <c r="B11" s="60"/>
      <c r="C11" s="60"/>
      <c r="D11" s="60"/>
      <c r="E11" s="60"/>
      <c r="F11" s="60"/>
      <c r="G11" s="60"/>
      <c r="H11" s="60"/>
      <c r="I11" s="60"/>
      <c r="J11" s="60"/>
      <c r="K11" s="60"/>
      <c r="L11" s="60"/>
      <c r="M11" s="60"/>
      <c r="N11" s="60"/>
      <c r="O11" s="61"/>
      <c r="P11" s="60"/>
      <c r="Q11" s="60"/>
      <c r="R11" s="56"/>
      <c r="S11" s="56"/>
      <c r="T11" s="56"/>
      <c r="U11" s="56"/>
      <c r="V11" s="58"/>
      <c r="W11" s="58"/>
      <c r="X11" s="58"/>
      <c r="Y11" s="56"/>
      <c r="Z11" s="56"/>
    </row>
    <row r="12" spans="1:27" x14ac:dyDescent="0.3">
      <c r="A12" t="s">
        <v>38</v>
      </c>
      <c r="B12" s="60">
        <f>(C10+B10+D10+E10+F10)/5</f>
        <v>6414.6</v>
      </c>
      <c r="C12" s="60">
        <f>(D10+C10+E10+F10)/4</f>
        <v>6353.25</v>
      </c>
      <c r="D12" s="60">
        <f>(E10+D10+F10)/3</f>
        <v>6310.333333333333</v>
      </c>
      <c r="E12" s="60">
        <f>(F10+E10)/2</f>
        <v>6318.5</v>
      </c>
      <c r="F12" s="60">
        <f>(G10+F10+H10+I10+J10)/5</f>
        <v>6156</v>
      </c>
      <c r="G12" s="60">
        <f>(H10+G10+I10+J10)/4</f>
        <v>6048.75</v>
      </c>
      <c r="H12" s="60">
        <f>(I10+H10+J10)/3</f>
        <v>5936.666666666667</v>
      </c>
      <c r="I12" s="60">
        <f>(J10+I10)/2</f>
        <v>5825.5</v>
      </c>
      <c r="J12" s="60">
        <f>(K10+J10+L10+M10+N10)/5</f>
        <v>5407.6</v>
      </c>
      <c r="K12" s="60">
        <f>(L10+K10+M10+N10)/4</f>
        <v>5333.75</v>
      </c>
      <c r="L12" s="60">
        <f>(M10+L10+N10)/3</f>
        <v>5278.666666666667</v>
      </c>
      <c r="M12" s="60">
        <f>(N10+M10)/2</f>
        <v>5261</v>
      </c>
      <c r="N12" s="60">
        <f>(O10+N10+P10+Q10+R10)/5</f>
        <v>4955.55</v>
      </c>
      <c r="O12" s="60">
        <f>(P10+O10+Q10+R10)/4</f>
        <v>4900.9375</v>
      </c>
      <c r="P12" s="60">
        <f>(Q10+P10+R10)/3</f>
        <v>4861.75</v>
      </c>
      <c r="Q12" s="60">
        <f>(R10+Q10)/2</f>
        <v>4861.125</v>
      </c>
      <c r="R12" s="56">
        <f>AVERAGE(R10:V10)</f>
        <v>4556.45</v>
      </c>
      <c r="S12" s="56">
        <v>4496.75</v>
      </c>
      <c r="T12" s="56">
        <v>4439</v>
      </c>
      <c r="U12" s="56">
        <v>4380.5</v>
      </c>
      <c r="V12" s="56">
        <f>(V10+X10+W10+Y10+Z10)/5</f>
        <v>4151.8</v>
      </c>
      <c r="W12" s="56">
        <f>(W10+Y10+X10+Z10)/4</f>
        <v>4109</v>
      </c>
      <c r="X12" s="56">
        <f>(X10+Z10+Y10)/3</f>
        <v>4072.6666666666665</v>
      </c>
      <c r="Y12" s="56">
        <f>(Y10+Z10)/2</f>
        <v>4051</v>
      </c>
      <c r="Z12" s="56">
        <v>3909</v>
      </c>
    </row>
    <row r="13" spans="1:27" x14ac:dyDescent="0.3">
      <c r="B13" s="60"/>
      <c r="C13" s="60"/>
      <c r="D13" s="60"/>
      <c r="E13" s="60"/>
      <c r="F13" s="60"/>
      <c r="G13" s="60"/>
      <c r="H13" s="60"/>
      <c r="I13" s="60"/>
      <c r="J13" s="60"/>
      <c r="K13" s="60"/>
      <c r="L13" s="60"/>
      <c r="M13" s="61"/>
      <c r="N13" s="60"/>
      <c r="O13" s="61"/>
      <c r="P13" s="61"/>
      <c r="Q13" s="61"/>
      <c r="R13" s="58"/>
      <c r="S13" s="58"/>
      <c r="T13" s="58"/>
      <c r="U13" s="58"/>
      <c r="V13" s="56"/>
      <c r="W13" s="58"/>
      <c r="X13" s="58"/>
      <c r="Y13" s="58"/>
      <c r="Z13" s="56"/>
    </row>
    <row r="14" spans="1:27" x14ac:dyDescent="0.3">
      <c r="A14" t="s">
        <v>39</v>
      </c>
      <c r="B14" s="60">
        <f>B6/365*365</f>
        <v>831</v>
      </c>
      <c r="C14" s="60">
        <f>C6/273*365</f>
        <v>873.71373626373622</v>
      </c>
      <c r="D14" s="60">
        <f>D6/181*365</f>
        <v>915.52486187845307</v>
      </c>
      <c r="E14" s="60">
        <f>E6/90*365</f>
        <v>855.72222222222229</v>
      </c>
      <c r="F14" s="60">
        <f>F6/366*366</f>
        <v>860</v>
      </c>
      <c r="G14" s="60">
        <f>G6/274*366</f>
        <v>887.48649500605836</v>
      </c>
      <c r="H14" s="60">
        <f>H6/182*366</f>
        <v>897.43280811593411</v>
      </c>
      <c r="I14" s="60">
        <f>I6/91*366</f>
        <v>953.20879120879124</v>
      </c>
      <c r="J14" s="60">
        <f>J6/365*365</f>
        <v>732.00000000000011</v>
      </c>
      <c r="K14" s="60">
        <f>K6/273*365</f>
        <v>697.91208791208794</v>
      </c>
      <c r="L14" s="60">
        <f>L6/181*365</f>
        <v>681.60220994475139</v>
      </c>
      <c r="M14" s="60">
        <f>M6/90*365</f>
        <v>709.72222222222217</v>
      </c>
      <c r="N14" s="60">
        <f>N6/365*365</f>
        <v>578</v>
      </c>
      <c r="O14" s="60">
        <f>O6/273*365</f>
        <v>566.35886051098896</v>
      </c>
      <c r="P14" s="60">
        <f>P6/181*365</f>
        <v>552.71570998922641</v>
      </c>
      <c r="Q14" s="60">
        <f>Q6/90*365</f>
        <v>566.02954555111114</v>
      </c>
      <c r="R14" s="56">
        <f>R6/4*4</f>
        <v>468</v>
      </c>
      <c r="S14" s="56">
        <v>465.33333333333331</v>
      </c>
      <c r="T14" s="56">
        <v>468</v>
      </c>
      <c r="U14" s="56">
        <v>460</v>
      </c>
      <c r="V14" s="56">
        <f>V6/4*4</f>
        <v>343</v>
      </c>
      <c r="W14" s="56">
        <f>W6/3*4</f>
        <v>321.33333333333331</v>
      </c>
      <c r="X14" s="56">
        <f>X6*2</f>
        <v>288</v>
      </c>
      <c r="Y14" s="56">
        <f>Y6*4</f>
        <v>264</v>
      </c>
      <c r="Z14" s="56">
        <f>+Z6</f>
        <v>313</v>
      </c>
    </row>
    <row r="15" spans="1:27" x14ac:dyDescent="0.3">
      <c r="A15" s="28" t="s">
        <v>40</v>
      </c>
      <c r="B15" s="11">
        <f>B12</f>
        <v>6414.6</v>
      </c>
      <c r="C15" s="11">
        <f>C12</f>
        <v>6353.25</v>
      </c>
      <c r="D15" s="11">
        <f>D12</f>
        <v>6310.333333333333</v>
      </c>
      <c r="E15" s="11">
        <f>E12</f>
        <v>6318.5</v>
      </c>
      <c r="F15" s="11">
        <f>F12</f>
        <v>6156</v>
      </c>
      <c r="G15" s="11">
        <f t="shared" ref="G15:H15" si="14">G12</f>
        <v>6048.75</v>
      </c>
      <c r="H15" s="11">
        <f t="shared" si="14"/>
        <v>5936.666666666667</v>
      </c>
      <c r="I15" s="11">
        <f t="shared" ref="I15:J15" si="15">I12</f>
        <v>5825.5</v>
      </c>
      <c r="J15" s="11">
        <f t="shared" si="15"/>
        <v>5407.6</v>
      </c>
      <c r="K15" s="11">
        <f t="shared" ref="K15:L15" si="16">K12</f>
        <v>5333.75</v>
      </c>
      <c r="L15" s="11">
        <f t="shared" si="16"/>
        <v>5278.666666666667</v>
      </c>
      <c r="M15" s="11">
        <f t="shared" ref="M15:R15" si="17">M12</f>
        <v>5261</v>
      </c>
      <c r="N15" s="11">
        <f t="shared" si="17"/>
        <v>4955.55</v>
      </c>
      <c r="O15" s="11">
        <f t="shared" si="17"/>
        <v>4900.9375</v>
      </c>
      <c r="P15" s="11">
        <f t="shared" si="17"/>
        <v>4861.75</v>
      </c>
      <c r="Q15" s="11">
        <f t="shared" si="17"/>
        <v>4861.125</v>
      </c>
      <c r="R15" s="54">
        <f t="shared" si="17"/>
        <v>4556.45</v>
      </c>
      <c r="S15" s="54">
        <v>4496.75</v>
      </c>
      <c r="T15" s="54">
        <v>4439</v>
      </c>
      <c r="U15" s="54">
        <v>4380.5</v>
      </c>
      <c r="V15" s="54">
        <f t="shared" ref="V15" si="18">V12</f>
        <v>4151.8</v>
      </c>
      <c r="W15" s="54">
        <f t="shared" ref="W15" si="19">W12</f>
        <v>4109</v>
      </c>
      <c r="X15" s="54">
        <f t="shared" ref="X15:Y15" si="20">X12</f>
        <v>4072.6666666666665</v>
      </c>
      <c r="Y15" s="54">
        <f t="shared" si="20"/>
        <v>4051</v>
      </c>
      <c r="Z15" s="54">
        <f t="shared" ref="Z15" si="21">Z12</f>
        <v>3909</v>
      </c>
    </row>
    <row r="16" spans="1:27" ht="15" thickBot="1" x14ac:dyDescent="0.35">
      <c r="A16" s="72" t="s">
        <v>41</v>
      </c>
      <c r="B16" s="16">
        <f>B14/B15</f>
        <v>0.12954821812739686</v>
      </c>
      <c r="C16" s="16">
        <f>C14/C15</f>
        <v>0.13752232892830224</v>
      </c>
      <c r="D16" s="16">
        <f>D14/D15</f>
        <v>0.14508343910175686</v>
      </c>
      <c r="E16" s="16">
        <f>E14/E15</f>
        <v>0.13543122928261808</v>
      </c>
      <c r="F16" s="16">
        <f>F14/F15</f>
        <v>0.13970110461338531</v>
      </c>
      <c r="G16" s="16">
        <f t="shared" ref="G16:H16" si="22">G14/G15</f>
        <v>0.14672229716983812</v>
      </c>
      <c r="H16" s="16">
        <f t="shared" si="22"/>
        <v>0.15116779474159472</v>
      </c>
      <c r="I16" s="16">
        <f t="shared" ref="I16:J16" si="23">I14/I15</f>
        <v>0.1636269489672631</v>
      </c>
      <c r="J16" s="16">
        <f t="shared" si="23"/>
        <v>0.13536504179303205</v>
      </c>
      <c r="K16" s="16">
        <f t="shared" ref="K16:L16" si="24">K14/K15</f>
        <v>0.13084829396055081</v>
      </c>
      <c r="L16" s="16">
        <f t="shared" si="24"/>
        <v>0.12912393469526737</v>
      </c>
      <c r="M16" s="16">
        <f t="shared" ref="M16:R16" si="25">M14/M15</f>
        <v>0.13490253226044899</v>
      </c>
      <c r="N16" s="16">
        <f t="shared" si="25"/>
        <v>0.11663690205930724</v>
      </c>
      <c r="O16" s="16">
        <f t="shared" si="25"/>
        <v>0.11556133097208217</v>
      </c>
      <c r="P16" s="16">
        <f t="shared" si="25"/>
        <v>0.11368657581924747</v>
      </c>
      <c r="Q16" s="16">
        <f t="shared" si="25"/>
        <v>0.11644003097042581</v>
      </c>
      <c r="R16" s="16">
        <f t="shared" si="25"/>
        <v>0.10271154078284631</v>
      </c>
      <c r="S16" s="16">
        <v>0.10348214451177702</v>
      </c>
      <c r="T16" s="16">
        <v>0.10642915070961928</v>
      </c>
      <c r="U16" s="16">
        <v>0.10501084351101472</v>
      </c>
      <c r="V16" s="16">
        <f>V14/V15</f>
        <v>8.2614769497567311E-2</v>
      </c>
      <c r="W16" s="16">
        <f>W14/W15</f>
        <v>7.820232011032692E-2</v>
      </c>
      <c r="X16" s="16">
        <f>X14/X15</f>
        <v>7.0715338025863481E-2</v>
      </c>
      <c r="Y16" s="16">
        <f t="shared" ref="Y16:Z16" si="26">Y14/Y15</f>
        <v>6.5169094050851639E-2</v>
      </c>
      <c r="Z16" s="16">
        <f t="shared" si="26"/>
        <v>8.0071629572780759E-2</v>
      </c>
    </row>
    <row r="17" spans="1:27" x14ac:dyDescent="0.3">
      <c r="A17" s="34"/>
      <c r="B17" s="67"/>
      <c r="C17" s="67"/>
      <c r="D17" s="67"/>
      <c r="E17" s="67"/>
      <c r="F17" s="67"/>
      <c r="G17" s="67"/>
      <c r="H17" s="67"/>
      <c r="I17" s="67"/>
      <c r="J17" s="67"/>
      <c r="K17" s="67"/>
      <c r="L17" s="67"/>
      <c r="M17" s="67"/>
      <c r="N17" s="67"/>
      <c r="O17" s="67"/>
      <c r="P17" s="62"/>
      <c r="Q17" s="62"/>
      <c r="R17" s="36"/>
      <c r="S17" s="36"/>
      <c r="T17" s="36"/>
      <c r="U17" s="36"/>
      <c r="V17" s="36"/>
      <c r="W17" s="36"/>
      <c r="X17" s="36"/>
      <c r="Y17" s="36"/>
      <c r="Z17" s="35"/>
    </row>
    <row r="18" spans="1:27" x14ac:dyDescent="0.3">
      <c r="F18" s="22"/>
      <c r="G18" s="22"/>
      <c r="H18" s="22"/>
      <c r="I18" s="22"/>
      <c r="J18" s="22"/>
      <c r="K18" s="22"/>
      <c r="L18" s="22"/>
      <c r="M18" s="22"/>
      <c r="N18" s="22"/>
      <c r="O18" s="22"/>
      <c r="P18" s="22"/>
    </row>
    <row r="19" spans="1:27" x14ac:dyDescent="0.3">
      <c r="A19" t="s">
        <v>42</v>
      </c>
      <c r="B19" s="60">
        <v>1266</v>
      </c>
      <c r="C19" s="60">
        <v>955</v>
      </c>
      <c r="D19" s="60">
        <v>642</v>
      </c>
      <c r="E19" s="60">
        <v>317</v>
      </c>
      <c r="F19" s="60">
        <v>1250</v>
      </c>
      <c r="G19" s="60">
        <v>930</v>
      </c>
      <c r="H19" s="60">
        <v>611</v>
      </c>
      <c r="I19" s="60">
        <v>308</v>
      </c>
      <c r="J19" s="60">
        <v>1166</v>
      </c>
      <c r="K19" s="60">
        <v>856</v>
      </c>
      <c r="L19" s="60">
        <v>551</v>
      </c>
      <c r="M19" s="60">
        <v>272</v>
      </c>
      <c r="N19" s="60">
        <v>933</v>
      </c>
      <c r="O19" s="60">
        <v>660</v>
      </c>
      <c r="P19" s="60">
        <v>424</v>
      </c>
      <c r="Q19" s="60">
        <v>207</v>
      </c>
      <c r="R19" s="56">
        <v>712</v>
      </c>
      <c r="S19" s="56">
        <v>529</v>
      </c>
      <c r="T19" s="56">
        <v>352</v>
      </c>
      <c r="U19" s="56">
        <v>171</v>
      </c>
      <c r="V19" s="56">
        <v>671</v>
      </c>
      <c r="W19" s="56">
        <f>335+166</f>
        <v>501</v>
      </c>
      <c r="X19" s="56">
        <f>177+158</f>
        <v>335</v>
      </c>
      <c r="Y19" s="56">
        <v>177</v>
      </c>
      <c r="Z19" s="56">
        <v>630</v>
      </c>
    </row>
    <row r="20" spans="1:27" x14ac:dyDescent="0.3">
      <c r="A20" t="s">
        <v>43</v>
      </c>
      <c r="B20" s="57">
        <f>B19/365*365</f>
        <v>1266</v>
      </c>
      <c r="C20" s="57">
        <f>C19/273*365</f>
        <v>1276.8315018315018</v>
      </c>
      <c r="D20" s="57">
        <f>D19/181*365</f>
        <v>1294.6408839779006</v>
      </c>
      <c r="E20" s="57">
        <f>E19/90*365</f>
        <v>1285.6111111111111</v>
      </c>
      <c r="F20" s="57">
        <f>F19/366*366</f>
        <v>1250</v>
      </c>
      <c r="G20" s="57">
        <f>G19/274*366</f>
        <v>1242.2627737226278</v>
      </c>
      <c r="H20" s="57">
        <f>H19/182*366</f>
        <v>1228.7142857142858</v>
      </c>
      <c r="I20" s="57">
        <f>I19/91*366</f>
        <v>1238.7692307692307</v>
      </c>
      <c r="J20" s="57">
        <f>J19/365*365</f>
        <v>1166</v>
      </c>
      <c r="K20" s="57">
        <f>K19/273*365</f>
        <v>1144.4688644688645</v>
      </c>
      <c r="L20" s="57">
        <f>L19/181*365</f>
        <v>1111.1325966850829</v>
      </c>
      <c r="M20" s="57">
        <f>M19/90*365</f>
        <v>1103.1111111111111</v>
      </c>
      <c r="N20" s="57">
        <f>N19/365*365</f>
        <v>932.99999999999989</v>
      </c>
      <c r="O20" s="57">
        <f>O19/273*365</f>
        <v>882.41758241758237</v>
      </c>
      <c r="P20" s="57">
        <f>P19/181*365</f>
        <v>855.02762430939219</v>
      </c>
      <c r="Q20" s="57">
        <f>Q19/90*365</f>
        <v>839.49999999999989</v>
      </c>
      <c r="R20" s="57">
        <f>+R19/4*4</f>
        <v>712</v>
      </c>
      <c r="S20" s="57">
        <v>705.33333333333337</v>
      </c>
      <c r="T20" s="57">
        <v>704</v>
      </c>
      <c r="U20" s="57">
        <v>684</v>
      </c>
      <c r="V20" s="57">
        <f>+V19</f>
        <v>671</v>
      </c>
      <c r="W20" s="57">
        <f>+W19/3*4</f>
        <v>668</v>
      </c>
      <c r="X20" s="57">
        <f>+X19*2</f>
        <v>670</v>
      </c>
      <c r="Y20" s="57">
        <f>+Y19*4</f>
        <v>708</v>
      </c>
      <c r="Z20" s="57">
        <f>+Z19</f>
        <v>630</v>
      </c>
    </row>
    <row r="21" spans="1:27" x14ac:dyDescent="0.3">
      <c r="F21" s="22"/>
      <c r="G21" s="22"/>
      <c r="H21" s="22"/>
      <c r="I21" s="22"/>
      <c r="J21" s="22"/>
      <c r="K21" s="22"/>
      <c r="L21" s="22"/>
      <c r="M21" s="22"/>
      <c r="N21" s="22"/>
      <c r="O21" s="22"/>
      <c r="P21" s="22"/>
    </row>
    <row r="22" spans="1:27" x14ac:dyDescent="0.3">
      <c r="A22" t="s">
        <v>44</v>
      </c>
      <c r="B22" s="60">
        <v>54392</v>
      </c>
      <c r="C22" s="60">
        <v>54996</v>
      </c>
      <c r="D22" s="60">
        <v>55140</v>
      </c>
      <c r="E22" s="60">
        <v>53135</v>
      </c>
      <c r="F22" s="60">
        <v>52518</v>
      </c>
      <c r="G22" s="60">
        <v>51781</v>
      </c>
      <c r="H22" s="60">
        <v>51041</v>
      </c>
      <c r="I22" s="60">
        <v>48488</v>
      </c>
      <c r="J22" s="60">
        <v>47961</v>
      </c>
      <c r="K22" s="60">
        <v>47859</v>
      </c>
      <c r="L22" s="60">
        <v>46055</v>
      </c>
      <c r="M22" s="60">
        <v>45462</v>
      </c>
      <c r="N22" s="60">
        <v>44998</v>
      </c>
      <c r="O22" s="60">
        <v>44428</v>
      </c>
      <c r="P22" s="60">
        <v>44610</v>
      </c>
      <c r="Q22" s="60">
        <v>42965</v>
      </c>
      <c r="R22" s="56">
        <v>41876</v>
      </c>
      <c r="S22" s="56">
        <v>40482</v>
      </c>
      <c r="T22" s="56">
        <v>38202</v>
      </c>
      <c r="U22" s="56">
        <v>36797</v>
      </c>
      <c r="V22" s="56">
        <v>35767</v>
      </c>
      <c r="W22" s="56">
        <v>34871</v>
      </c>
      <c r="X22" s="56">
        <v>33816</v>
      </c>
      <c r="Y22" s="56">
        <v>33303</v>
      </c>
      <c r="Z22" s="56">
        <v>31917</v>
      </c>
    </row>
    <row r="23" spans="1:27" x14ac:dyDescent="0.3">
      <c r="A23" t="s">
        <v>45</v>
      </c>
      <c r="B23" s="60">
        <f>(B22+C22+D22+E22+F22)/5</f>
        <v>54036.2</v>
      </c>
      <c r="C23" s="60">
        <f>(C22+D22+E22+F22)/4</f>
        <v>53947.25</v>
      </c>
      <c r="D23" s="60">
        <f>(D22+E22+F22)/3</f>
        <v>53597.666666666664</v>
      </c>
      <c r="E23" s="60">
        <f>(E22+F22)/2</f>
        <v>52826.5</v>
      </c>
      <c r="F23" s="60">
        <f>(F22+G22+H22+I22+J22)/5</f>
        <v>50357.8</v>
      </c>
      <c r="G23" s="60">
        <f>(G22+H22+I22+J22)/4</f>
        <v>49817.75</v>
      </c>
      <c r="H23" s="60">
        <f>(H22+I22+J22)/3</f>
        <v>49163.333333333336</v>
      </c>
      <c r="I23" s="60">
        <f>(I22+J22)/2</f>
        <v>48224.5</v>
      </c>
      <c r="J23" s="60">
        <f>(J22+K22+L22+M22+N22)/5</f>
        <v>46467</v>
      </c>
      <c r="K23" s="60">
        <f>(K22+L22+M22+N22)/4</f>
        <v>46093.5</v>
      </c>
      <c r="L23" s="60">
        <f>(L22+M22+N22)/3</f>
        <v>45505</v>
      </c>
      <c r="M23" s="60">
        <f>(M22+N22)/2</f>
        <v>45230</v>
      </c>
      <c r="N23" s="60">
        <f>(N22+O22+P22+Q22+R22)/5</f>
        <v>43775.4</v>
      </c>
      <c r="O23" s="60">
        <f>(O22+P22+Q22+R22)/4</f>
        <v>43469.75</v>
      </c>
      <c r="P23" s="60">
        <f>(P22+Q22+R22)/3</f>
        <v>43150.333333333336</v>
      </c>
      <c r="Q23" s="60">
        <f>(Q22+R22)/2</f>
        <v>42420.5</v>
      </c>
      <c r="R23" s="56">
        <f>AVERAGE(R22:V22)</f>
        <v>38624.800000000003</v>
      </c>
      <c r="S23" s="56">
        <v>37812</v>
      </c>
      <c r="T23" s="56">
        <v>36922</v>
      </c>
      <c r="U23" s="56">
        <v>36282</v>
      </c>
      <c r="V23" s="56">
        <f>AVERAGE(V22:Z22)</f>
        <v>33934.800000000003</v>
      </c>
      <c r="W23" s="56">
        <f>AVERAGE(W22:Z22)</f>
        <v>33476.75</v>
      </c>
      <c r="X23" s="56">
        <f>AVERAGE(X22:Z22)</f>
        <v>33012</v>
      </c>
      <c r="Y23" s="56">
        <f>AVERAGE(Y22:Z22)</f>
        <v>32610</v>
      </c>
      <c r="Z23" s="57">
        <v>30314.6</v>
      </c>
    </row>
    <row r="24" spans="1:27" x14ac:dyDescent="0.3">
      <c r="F24" s="22"/>
      <c r="G24" s="22"/>
      <c r="H24" s="22"/>
      <c r="I24" s="22"/>
      <c r="J24" s="22"/>
      <c r="K24" s="22"/>
      <c r="L24" s="22"/>
      <c r="M24" s="22"/>
      <c r="N24" s="22"/>
      <c r="O24" s="22"/>
      <c r="P24" s="22"/>
      <c r="V24" s="18"/>
      <c r="W24" s="18"/>
      <c r="X24" s="18"/>
    </row>
    <row r="25" spans="1:27" ht="15" thickBot="1" x14ac:dyDescent="0.35">
      <c r="A25" s="29" t="s">
        <v>6</v>
      </c>
      <c r="B25" s="20">
        <f>+B20/B23</f>
        <v>2.3428738512330623E-2</v>
      </c>
      <c r="C25" s="20">
        <f>+C20/C23</f>
        <v>2.3668148085982173E-2</v>
      </c>
      <c r="D25" s="20">
        <f>+D20/D23</f>
        <v>2.4154799350305685E-2</v>
      </c>
      <c r="E25" s="20">
        <f>+E20/E23</f>
        <v>2.433648095389835E-2</v>
      </c>
      <c r="F25" s="20">
        <f>+F20/F23</f>
        <v>2.4822371112320236E-2</v>
      </c>
      <c r="G25" s="20">
        <f t="shared" ref="G25:H25" si="27">+G20/G23</f>
        <v>2.4936147732939118E-2</v>
      </c>
      <c r="H25" s="20">
        <f t="shared" si="27"/>
        <v>2.4992493437811764E-2</v>
      </c>
      <c r="I25" s="20">
        <f t="shared" ref="I25:J25" si="28">+I20/I23</f>
        <v>2.5687549498060753E-2</v>
      </c>
      <c r="J25" s="20">
        <f t="shared" si="28"/>
        <v>2.5093076807196506E-2</v>
      </c>
      <c r="K25" s="20">
        <f t="shared" ref="K25:L25" si="29">+K20/K23</f>
        <v>2.4829289693099124E-2</v>
      </c>
      <c r="L25" s="20">
        <f t="shared" si="29"/>
        <v>2.441781335424861E-2</v>
      </c>
      <c r="M25" s="20">
        <f t="shared" ref="M25:R25" si="30">+M20/M23</f>
        <v>2.4388925737588128E-2</v>
      </c>
      <c r="N25" s="20">
        <f t="shared" si="30"/>
        <v>2.1313340369248479E-2</v>
      </c>
      <c r="O25" s="20">
        <f t="shared" si="30"/>
        <v>2.0299578038005334E-2</v>
      </c>
      <c r="P25" s="20">
        <f t="shared" si="30"/>
        <v>1.9815087352961169E-2</v>
      </c>
      <c r="Q25" s="20">
        <f t="shared" si="30"/>
        <v>1.9789960042903783E-2</v>
      </c>
      <c r="R25" s="20">
        <f t="shared" si="30"/>
        <v>1.8433752407779457E-2</v>
      </c>
      <c r="S25" s="20">
        <v>1.8653690186536901E-2</v>
      </c>
      <c r="T25" s="20">
        <v>1.9067222793998157E-2</v>
      </c>
      <c r="U25" s="20">
        <v>1.8852323466181577E-2</v>
      </c>
      <c r="V25" s="20">
        <f t="shared" ref="V25:Z25" si="31">+V20/V23</f>
        <v>1.9773212159788771E-2</v>
      </c>
      <c r="W25" s="20">
        <f t="shared" si="31"/>
        <v>1.995414728132211E-2</v>
      </c>
      <c r="X25" s="20">
        <f t="shared" si="31"/>
        <v>2.0295650066642433E-2</v>
      </c>
      <c r="Y25" s="20">
        <f t="shared" si="31"/>
        <v>2.1711131554737809E-2</v>
      </c>
      <c r="Z25" s="20">
        <f t="shared" si="31"/>
        <v>2.0782065407427445E-2</v>
      </c>
    </row>
    <row r="26" spans="1:27" x14ac:dyDescent="0.3">
      <c r="F26" s="22"/>
      <c r="G26" s="22"/>
      <c r="H26" s="22"/>
      <c r="I26" s="22"/>
      <c r="J26" s="22"/>
      <c r="K26" s="22"/>
      <c r="L26" s="22"/>
      <c r="M26" s="22"/>
      <c r="N26" s="22"/>
      <c r="O26" s="22"/>
      <c r="P26" s="22"/>
      <c r="V26" s="18"/>
      <c r="W26" s="18"/>
      <c r="X26" s="18"/>
    </row>
    <row r="27" spans="1:27" x14ac:dyDescent="0.3">
      <c r="F27" s="22"/>
      <c r="G27" s="22"/>
      <c r="H27" s="22"/>
      <c r="I27" s="22"/>
      <c r="J27" s="22"/>
      <c r="K27" s="22"/>
      <c r="L27" s="22"/>
      <c r="M27" s="22"/>
      <c r="N27" s="22"/>
      <c r="O27" s="22"/>
      <c r="P27" s="22"/>
      <c r="V27" s="18"/>
      <c r="W27" s="18"/>
      <c r="X27" s="18"/>
    </row>
    <row r="28" spans="1:27" x14ac:dyDescent="0.3">
      <c r="A28" t="s">
        <v>46</v>
      </c>
      <c r="B28" s="60">
        <v>387</v>
      </c>
      <c r="C28" s="60">
        <v>288</v>
      </c>
      <c r="D28" s="60">
        <v>187</v>
      </c>
      <c r="E28" s="60">
        <v>89</v>
      </c>
      <c r="F28" s="60">
        <v>352</v>
      </c>
      <c r="G28" s="60">
        <v>257</v>
      </c>
      <c r="H28" s="60">
        <v>167</v>
      </c>
      <c r="I28" s="60">
        <v>80</v>
      </c>
      <c r="J28" s="60">
        <v>315</v>
      </c>
      <c r="K28" s="60">
        <v>234</v>
      </c>
      <c r="L28" s="60">
        <v>153</v>
      </c>
      <c r="M28" s="60">
        <v>75</v>
      </c>
      <c r="N28" s="60">
        <v>305</v>
      </c>
      <c r="O28" s="60">
        <v>227</v>
      </c>
      <c r="P28" s="60">
        <v>149</v>
      </c>
      <c r="Q28" s="60">
        <v>73</v>
      </c>
      <c r="R28" s="24">
        <v>285</v>
      </c>
      <c r="S28" s="24">
        <v>215</v>
      </c>
      <c r="T28" s="24">
        <v>143</v>
      </c>
      <c r="U28" s="24">
        <v>71</v>
      </c>
      <c r="V28" s="24">
        <v>292</v>
      </c>
      <c r="W28" s="24">
        <f>141+70</f>
        <v>211</v>
      </c>
      <c r="X28" s="24">
        <f>74+67</f>
        <v>141</v>
      </c>
      <c r="Y28" s="24">
        <v>74</v>
      </c>
      <c r="Z28" s="24">
        <v>284</v>
      </c>
    </row>
    <row r="29" spans="1:27" x14ac:dyDescent="0.3">
      <c r="B29" s="60"/>
      <c r="C29" s="60"/>
      <c r="D29" s="60"/>
      <c r="E29" s="60"/>
      <c r="F29" s="60"/>
      <c r="G29" s="60"/>
      <c r="H29" s="60"/>
      <c r="I29" s="60"/>
      <c r="J29" s="60"/>
      <c r="K29" s="60"/>
      <c r="L29" s="60"/>
      <c r="M29" s="60"/>
      <c r="N29" s="60"/>
      <c r="O29" s="61"/>
      <c r="P29" s="60"/>
      <c r="Q29" s="60"/>
      <c r="R29" s="24"/>
      <c r="S29" s="24"/>
      <c r="T29" s="24"/>
      <c r="U29" s="24"/>
      <c r="V29" s="24"/>
      <c r="W29" s="24"/>
      <c r="X29" s="24"/>
      <c r="Y29" s="24"/>
      <c r="Z29" s="24"/>
      <c r="AA29" s="53"/>
    </row>
    <row r="30" spans="1:27" x14ac:dyDescent="0.3">
      <c r="A30" t="s">
        <v>42</v>
      </c>
      <c r="B30" s="60">
        <f>B19</f>
        <v>1266</v>
      </c>
      <c r="C30" s="60">
        <f>C19</f>
        <v>955</v>
      </c>
      <c r="D30" s="60">
        <f t="shared" ref="D30:I30" si="32">D19</f>
        <v>642</v>
      </c>
      <c r="E30" s="60">
        <f t="shared" si="32"/>
        <v>317</v>
      </c>
      <c r="F30" s="60">
        <f t="shared" si="32"/>
        <v>1250</v>
      </c>
      <c r="G30" s="60">
        <f t="shared" si="32"/>
        <v>930</v>
      </c>
      <c r="H30" s="60">
        <f t="shared" si="32"/>
        <v>611</v>
      </c>
      <c r="I30" s="60">
        <f t="shared" si="32"/>
        <v>308</v>
      </c>
      <c r="J30" s="60">
        <f t="shared" ref="J30:N30" si="33">J19</f>
        <v>1166</v>
      </c>
      <c r="K30" s="60">
        <f t="shared" si="33"/>
        <v>856</v>
      </c>
      <c r="L30" s="60">
        <f t="shared" si="33"/>
        <v>551</v>
      </c>
      <c r="M30" s="60">
        <f t="shared" si="33"/>
        <v>272</v>
      </c>
      <c r="N30" s="60">
        <f t="shared" si="33"/>
        <v>933</v>
      </c>
      <c r="O30" s="60">
        <v>660</v>
      </c>
      <c r="P30" s="60">
        <f>+P19</f>
        <v>424</v>
      </c>
      <c r="Q30" s="60">
        <f>+Q19</f>
        <v>207</v>
      </c>
      <c r="R30" s="24">
        <f>+R19</f>
        <v>712</v>
      </c>
      <c r="S30" s="24">
        <v>529</v>
      </c>
      <c r="T30" s="24">
        <v>352</v>
      </c>
      <c r="U30" s="24">
        <v>171</v>
      </c>
      <c r="V30" s="24">
        <v>671</v>
      </c>
      <c r="W30" s="24">
        <v>501</v>
      </c>
      <c r="X30" s="24">
        <v>335</v>
      </c>
      <c r="Y30" s="24">
        <v>177</v>
      </c>
      <c r="Z30" s="24">
        <v>630</v>
      </c>
      <c r="AA30" s="53"/>
    </row>
    <row r="31" spans="1:27" x14ac:dyDescent="0.3">
      <c r="A31" s="28" t="s">
        <v>47</v>
      </c>
      <c r="B31" s="54">
        <v>287</v>
      </c>
      <c r="C31" s="54">
        <v>231</v>
      </c>
      <c r="D31" s="54">
        <v>167</v>
      </c>
      <c r="E31" s="54">
        <v>61</v>
      </c>
      <c r="F31" s="54">
        <v>253</v>
      </c>
      <c r="G31" s="54">
        <v>204</v>
      </c>
      <c r="H31" s="54">
        <v>143</v>
      </c>
      <c r="I31" s="54">
        <v>82</v>
      </c>
      <c r="J31" s="54">
        <v>181</v>
      </c>
      <c r="K31" s="54">
        <v>129</v>
      </c>
      <c r="L31" s="54">
        <v>88</v>
      </c>
      <c r="M31" s="54">
        <v>47</v>
      </c>
      <c r="N31" s="54">
        <v>194</v>
      </c>
      <c r="O31" s="54">
        <v>160</v>
      </c>
      <c r="P31" s="54">
        <v>107</v>
      </c>
      <c r="Q31" s="54">
        <v>65</v>
      </c>
      <c r="R31" s="54">
        <v>187</v>
      </c>
      <c r="S31" s="54">
        <v>134</v>
      </c>
      <c r="T31" s="54">
        <v>84</v>
      </c>
      <c r="U31" s="54">
        <v>41</v>
      </c>
      <c r="V31" s="54">
        <v>163</v>
      </c>
      <c r="W31" s="54">
        <v>112</v>
      </c>
      <c r="X31" s="54">
        <v>63</v>
      </c>
      <c r="Y31" s="54">
        <v>28</v>
      </c>
      <c r="Z31" s="54">
        <v>126</v>
      </c>
      <c r="AA31" s="53"/>
    </row>
    <row r="32" spans="1:27" x14ac:dyDescent="0.3">
      <c r="A32" s="28" t="s">
        <v>48</v>
      </c>
      <c r="B32" s="54">
        <f>SUM(B30:B31)</f>
        <v>1553</v>
      </c>
      <c r="C32" s="54">
        <f>SUM(C30:C31)</f>
        <v>1186</v>
      </c>
      <c r="D32" s="54">
        <f>SUM(D30:D31)</f>
        <v>809</v>
      </c>
      <c r="E32" s="54">
        <f>SUM(E30:E31)</f>
        <v>378</v>
      </c>
      <c r="F32" s="54">
        <f>SUM(F30:F31)</f>
        <v>1503</v>
      </c>
      <c r="G32" s="54">
        <f t="shared" ref="G32:H32" si="34">SUM(G30:G31)</f>
        <v>1134</v>
      </c>
      <c r="H32" s="54">
        <f t="shared" si="34"/>
        <v>754</v>
      </c>
      <c r="I32" s="54">
        <f t="shared" ref="I32:J32" si="35">SUM(I30:I31)</f>
        <v>390</v>
      </c>
      <c r="J32" s="54">
        <f t="shared" si="35"/>
        <v>1347</v>
      </c>
      <c r="K32" s="54">
        <f t="shared" ref="K32:L32" si="36">SUM(K30:K31)</f>
        <v>985</v>
      </c>
      <c r="L32" s="54">
        <f t="shared" si="36"/>
        <v>639</v>
      </c>
      <c r="M32" s="54">
        <f t="shared" ref="M32:R32" si="37">SUM(M30:M31)</f>
        <v>319</v>
      </c>
      <c r="N32" s="54">
        <f t="shared" si="37"/>
        <v>1127</v>
      </c>
      <c r="O32" s="54">
        <f t="shared" si="37"/>
        <v>820</v>
      </c>
      <c r="P32" s="54">
        <f t="shared" si="37"/>
        <v>531</v>
      </c>
      <c r="Q32" s="54">
        <f t="shared" si="37"/>
        <v>272</v>
      </c>
      <c r="R32" s="54">
        <f t="shared" si="37"/>
        <v>899</v>
      </c>
      <c r="S32" s="54">
        <v>663</v>
      </c>
      <c r="T32" s="54">
        <v>436</v>
      </c>
      <c r="U32" s="54">
        <f t="shared" ref="U32:Z32" si="38">SUM(U30:U31)</f>
        <v>212</v>
      </c>
      <c r="V32" s="54">
        <f t="shared" si="38"/>
        <v>834</v>
      </c>
      <c r="W32" s="54">
        <f t="shared" si="38"/>
        <v>613</v>
      </c>
      <c r="X32" s="54">
        <f t="shared" si="38"/>
        <v>398</v>
      </c>
      <c r="Y32" s="54">
        <f t="shared" si="38"/>
        <v>205</v>
      </c>
      <c r="Z32" s="54">
        <f t="shared" si="38"/>
        <v>756</v>
      </c>
    </row>
    <row r="33" spans="1:27" s="3" customFormat="1" ht="15" thickBot="1" x14ac:dyDescent="0.35">
      <c r="A33" s="29" t="s">
        <v>8</v>
      </c>
      <c r="B33" s="26">
        <f>B28/B32</f>
        <v>0.24919510624597555</v>
      </c>
      <c r="C33" s="26">
        <f>C28/C32</f>
        <v>0.24283305227655985</v>
      </c>
      <c r="D33" s="26">
        <f>D28/D32</f>
        <v>0.23114956736711989</v>
      </c>
      <c r="E33" s="26">
        <f>E28/E32</f>
        <v>0.23544973544973544</v>
      </c>
      <c r="F33" s="26">
        <f>F28/F32</f>
        <v>0.23419827012641384</v>
      </c>
      <c r="G33" s="26">
        <f t="shared" ref="G33:H33" si="39">G28/G32</f>
        <v>0.22663139329805995</v>
      </c>
      <c r="H33" s="26">
        <f t="shared" si="39"/>
        <v>0.22148541114058357</v>
      </c>
      <c r="I33" s="26">
        <f t="shared" ref="I33:J33" si="40">I28/I32</f>
        <v>0.20512820512820512</v>
      </c>
      <c r="J33" s="26">
        <f t="shared" si="40"/>
        <v>0.23385300668151449</v>
      </c>
      <c r="K33" s="26">
        <f t="shared" ref="K33:L33" si="41">K28/K32</f>
        <v>0.23756345177664975</v>
      </c>
      <c r="L33" s="26">
        <f t="shared" si="41"/>
        <v>0.23943661971830985</v>
      </c>
      <c r="M33" s="26">
        <f t="shared" ref="M33:R33" si="42">M28/M32</f>
        <v>0.23510971786833856</v>
      </c>
      <c r="N33" s="26">
        <f t="shared" si="42"/>
        <v>0.27062999112688552</v>
      </c>
      <c r="O33" s="26">
        <f t="shared" si="42"/>
        <v>0.27682926829268295</v>
      </c>
      <c r="P33" s="26">
        <f t="shared" si="42"/>
        <v>0.28060263653483991</v>
      </c>
      <c r="Q33" s="26">
        <f t="shared" si="42"/>
        <v>0.26838235294117646</v>
      </c>
      <c r="R33" s="26">
        <f t="shared" si="42"/>
        <v>0.31701890989988879</v>
      </c>
      <c r="S33" s="26">
        <v>0.32428355957767724</v>
      </c>
      <c r="T33" s="26">
        <v>0.32798165137614677</v>
      </c>
      <c r="U33" s="26">
        <v>0.33490566037735847</v>
      </c>
      <c r="V33" s="26">
        <f t="shared" ref="V33" si="43">V28/V32</f>
        <v>0.3501199040767386</v>
      </c>
      <c r="W33" s="26">
        <f t="shared" ref="W33" si="44">W28/W32</f>
        <v>0.3442088091353997</v>
      </c>
      <c r="X33" s="26">
        <f t="shared" ref="X33:Z33" si="45">X28/X32</f>
        <v>0.35427135678391958</v>
      </c>
      <c r="Y33" s="26">
        <f t="shared" si="45"/>
        <v>0.36097560975609755</v>
      </c>
      <c r="Z33" s="26">
        <f t="shared" si="45"/>
        <v>0.37566137566137564</v>
      </c>
      <c r="AA33"/>
    </row>
    <row r="34" spans="1:27" x14ac:dyDescent="0.3">
      <c r="F34" s="22"/>
      <c r="G34" s="22"/>
      <c r="H34" s="22"/>
      <c r="I34" s="22"/>
      <c r="J34" s="22"/>
      <c r="K34" s="22"/>
      <c r="L34" s="22"/>
      <c r="M34" s="22"/>
      <c r="N34" s="22"/>
      <c r="P34" s="22"/>
    </row>
    <row r="35" spans="1:27" x14ac:dyDescent="0.3">
      <c r="F35" s="22"/>
      <c r="G35" s="22"/>
      <c r="H35" s="22"/>
      <c r="I35" s="22"/>
      <c r="J35" s="22"/>
      <c r="K35" s="22"/>
      <c r="L35" s="22"/>
      <c r="M35" s="22"/>
      <c r="N35" s="22"/>
      <c r="P35" s="22"/>
    </row>
    <row r="36" spans="1:27" x14ac:dyDescent="0.3">
      <c r="A36" t="s">
        <v>49</v>
      </c>
      <c r="B36" s="60">
        <v>28154</v>
      </c>
      <c r="C36" s="60">
        <v>28394</v>
      </c>
      <c r="D36" s="60">
        <v>27907</v>
      </c>
      <c r="E36" s="60">
        <v>26906</v>
      </c>
      <c r="F36" s="60">
        <v>26368</v>
      </c>
      <c r="G36" s="60">
        <v>25733</v>
      </c>
      <c r="H36" s="60">
        <v>25741</v>
      </c>
      <c r="I36" s="60">
        <v>24528</v>
      </c>
      <c r="J36" s="60">
        <v>24620</v>
      </c>
      <c r="K36" s="60">
        <v>25203</v>
      </c>
      <c r="L36" s="60">
        <v>24607</v>
      </c>
      <c r="M36" s="60">
        <v>23863</v>
      </c>
      <c r="N36" s="60">
        <v>23976</v>
      </c>
      <c r="O36" s="60">
        <v>24769</v>
      </c>
      <c r="P36" s="60">
        <v>24912</v>
      </c>
      <c r="Q36" s="60">
        <v>23223</v>
      </c>
      <c r="R36" s="24">
        <v>22287</v>
      </c>
      <c r="S36" s="24">
        <v>21233</v>
      </c>
      <c r="T36" s="24">
        <v>19140</v>
      </c>
      <c r="U36" s="24">
        <v>18122</v>
      </c>
      <c r="V36" s="24">
        <v>17627</v>
      </c>
      <c r="W36" s="24">
        <v>17334</v>
      </c>
      <c r="X36" s="24">
        <v>16810</v>
      </c>
      <c r="Y36" s="24">
        <v>15953</v>
      </c>
      <c r="Z36" s="24">
        <v>15360</v>
      </c>
    </row>
    <row r="37" spans="1:27" x14ac:dyDescent="0.3">
      <c r="A37" s="28" t="s">
        <v>50</v>
      </c>
      <c r="B37" s="11">
        <v>42855</v>
      </c>
      <c r="C37" s="11">
        <v>43149</v>
      </c>
      <c r="D37" s="11">
        <v>44252</v>
      </c>
      <c r="E37" s="11">
        <v>43758</v>
      </c>
      <c r="F37" s="11">
        <v>42053</v>
      </c>
      <c r="G37" s="11">
        <v>41962</v>
      </c>
      <c r="H37" s="11">
        <v>40382</v>
      </c>
      <c r="I37" s="11">
        <v>39310</v>
      </c>
      <c r="J37" s="11">
        <v>38658</v>
      </c>
      <c r="K37" s="11">
        <v>37913</v>
      </c>
      <c r="L37" s="11">
        <v>37104</v>
      </c>
      <c r="M37" s="11">
        <v>36106</v>
      </c>
      <c r="N37" s="11">
        <v>36166</v>
      </c>
      <c r="O37" s="11">
        <v>35357</v>
      </c>
      <c r="P37" s="11">
        <v>34833</v>
      </c>
      <c r="Q37" s="11">
        <v>33777</v>
      </c>
      <c r="R37" s="54">
        <v>32472</v>
      </c>
      <c r="S37" s="54">
        <v>31092</v>
      </c>
      <c r="T37" s="54">
        <v>30728</v>
      </c>
      <c r="U37" s="54">
        <v>29351</v>
      </c>
      <c r="V37" s="54">
        <v>28069</v>
      </c>
      <c r="W37" s="54">
        <v>27360</v>
      </c>
      <c r="X37" s="54">
        <v>26218</v>
      </c>
      <c r="Y37" s="54">
        <v>25612</v>
      </c>
      <c r="Z37" s="54">
        <v>25503</v>
      </c>
    </row>
    <row r="38" spans="1:27" ht="15" thickBot="1" x14ac:dyDescent="0.35">
      <c r="A38" s="31" t="s">
        <v>51</v>
      </c>
      <c r="B38" s="26">
        <f>B36/B37</f>
        <v>0.65695951464239877</v>
      </c>
      <c r="C38" s="26">
        <f>C36/C37</f>
        <v>0.65804537764490489</v>
      </c>
      <c r="D38" s="26">
        <f>D36/D37</f>
        <v>0.63063816324685895</v>
      </c>
      <c r="E38" s="26">
        <f>E36/E37</f>
        <v>0.61488185017596786</v>
      </c>
      <c r="F38" s="26">
        <f>F36/F37</f>
        <v>0.62701828644805369</v>
      </c>
      <c r="G38" s="26">
        <f t="shared" ref="G38:H38" si="46">G36/G37</f>
        <v>0.61324531719174491</v>
      </c>
      <c r="H38" s="26">
        <f t="shared" si="46"/>
        <v>0.63743747214105295</v>
      </c>
      <c r="I38" s="26">
        <f t="shared" ref="I38:J38" si="47">I36/I37</f>
        <v>0.62396336809972019</v>
      </c>
      <c r="J38" s="26">
        <f t="shared" si="47"/>
        <v>0.63686688395674895</v>
      </c>
      <c r="K38" s="26">
        <f t="shared" ref="K38:L38" si="48">K36/K37</f>
        <v>0.66475878986099757</v>
      </c>
      <c r="L38" s="26">
        <f t="shared" si="48"/>
        <v>0.66318995256576108</v>
      </c>
      <c r="M38" s="26">
        <f t="shared" ref="M38:R38" si="49">M36/M37</f>
        <v>0.66091508336564564</v>
      </c>
      <c r="N38" s="26">
        <f t="shared" si="49"/>
        <v>0.66294309572526677</v>
      </c>
      <c r="O38" s="26">
        <f t="shared" si="49"/>
        <v>0.70054020420284524</v>
      </c>
      <c r="P38" s="26">
        <f t="shared" si="49"/>
        <v>0.71518387735767808</v>
      </c>
      <c r="Q38" s="26">
        <f t="shared" si="49"/>
        <v>0.68753885780264679</v>
      </c>
      <c r="R38" s="26">
        <f t="shared" si="49"/>
        <v>0.68634515890613457</v>
      </c>
      <c r="S38" s="26">
        <v>0.68290878682619327</v>
      </c>
      <c r="T38" s="26">
        <v>0.62288466545170529</v>
      </c>
      <c r="U38" s="26">
        <v>0.61742359715171546</v>
      </c>
      <c r="V38" s="26">
        <f>V36/V37</f>
        <v>0.62798817200470269</v>
      </c>
      <c r="W38" s="26">
        <f>W36/W37</f>
        <v>0.63355263157894737</v>
      </c>
      <c r="X38" s="26">
        <f>X36/X37-0.001</f>
        <v>0.64016256007323213</v>
      </c>
      <c r="Y38" s="26">
        <f>Y36/Y37-0.001</f>
        <v>0.62187209120724662</v>
      </c>
      <c r="Z38" s="26">
        <f>Z36/Z37-0.001</f>
        <v>0.60128208446065168</v>
      </c>
      <c r="AA38" s="59"/>
    </row>
    <row r="39" spans="1:27" x14ac:dyDescent="0.3">
      <c r="F39" s="22"/>
      <c r="G39" s="22"/>
      <c r="H39" s="22"/>
      <c r="I39" s="22"/>
      <c r="J39" s="22"/>
      <c r="K39" s="22"/>
      <c r="L39" s="22"/>
      <c r="M39" s="22"/>
      <c r="N39" s="22"/>
      <c r="O39" s="22"/>
      <c r="P39" s="22"/>
    </row>
    <row r="40" spans="1:27" x14ac:dyDescent="0.3">
      <c r="F40" s="22"/>
      <c r="G40" s="22"/>
      <c r="H40" s="22"/>
      <c r="I40" s="22"/>
      <c r="J40" s="22"/>
      <c r="K40" s="22"/>
      <c r="L40" s="22"/>
      <c r="M40" s="22"/>
      <c r="N40" s="22"/>
      <c r="O40" s="22"/>
      <c r="P40" s="22"/>
    </row>
    <row r="41" spans="1:27" x14ac:dyDescent="0.3">
      <c r="A41" s="22" t="s">
        <v>52</v>
      </c>
      <c r="B41" s="57">
        <v>42983</v>
      </c>
      <c r="C41" s="57">
        <v>43271</v>
      </c>
      <c r="D41" s="57">
        <v>44370</v>
      </c>
      <c r="E41" s="57">
        <v>43870</v>
      </c>
      <c r="F41" s="57">
        <v>42173</v>
      </c>
      <c r="G41" s="57">
        <v>42087</v>
      </c>
      <c r="H41" s="57">
        <v>40524</v>
      </c>
      <c r="I41" s="57">
        <v>39471</v>
      </c>
      <c r="J41" s="57">
        <v>38831</v>
      </c>
      <c r="K41" s="57">
        <v>38099</v>
      </c>
      <c r="L41" s="57">
        <v>37278</v>
      </c>
      <c r="M41" s="57">
        <v>36261</v>
      </c>
      <c r="N41" s="57">
        <v>36316</v>
      </c>
      <c r="O41" s="57">
        <v>35492</v>
      </c>
      <c r="P41" s="57">
        <v>34964</v>
      </c>
      <c r="Q41" s="57">
        <v>33903</v>
      </c>
      <c r="R41" s="57">
        <v>32583</v>
      </c>
      <c r="S41" s="57">
        <v>31207</v>
      </c>
      <c r="T41" s="57">
        <v>30843</v>
      </c>
      <c r="U41" s="57">
        <v>29474</v>
      </c>
      <c r="V41" s="57">
        <v>28222</v>
      </c>
      <c r="W41" s="57">
        <v>27519</v>
      </c>
      <c r="X41" s="57">
        <v>26406</v>
      </c>
      <c r="Y41" s="57">
        <v>25792</v>
      </c>
      <c r="Z41" s="57">
        <v>25642</v>
      </c>
    </row>
    <row r="42" spans="1:27" x14ac:dyDescent="0.3">
      <c r="A42" s="32" t="s">
        <v>53</v>
      </c>
      <c r="B42" s="55">
        <f>F41</f>
        <v>42173</v>
      </c>
      <c r="C42" s="55">
        <f>G41</f>
        <v>42087</v>
      </c>
      <c r="D42" s="55">
        <f>H41</f>
        <v>40524</v>
      </c>
      <c r="E42" s="55">
        <f>I41</f>
        <v>39471</v>
      </c>
      <c r="F42" s="55">
        <f>J41</f>
        <v>38831</v>
      </c>
      <c r="G42" s="55">
        <f t="shared" ref="G42:Q42" si="50">K41</f>
        <v>38099</v>
      </c>
      <c r="H42" s="55">
        <f t="shared" si="50"/>
        <v>37278</v>
      </c>
      <c r="I42" s="55">
        <f t="shared" si="50"/>
        <v>36261</v>
      </c>
      <c r="J42" s="55">
        <f t="shared" si="50"/>
        <v>36316</v>
      </c>
      <c r="K42" s="55">
        <f t="shared" si="50"/>
        <v>35492</v>
      </c>
      <c r="L42" s="55">
        <f t="shared" si="50"/>
        <v>34964</v>
      </c>
      <c r="M42" s="55">
        <f t="shared" si="50"/>
        <v>33903</v>
      </c>
      <c r="N42" s="55">
        <f t="shared" si="50"/>
        <v>32583</v>
      </c>
      <c r="O42" s="55">
        <f t="shared" si="50"/>
        <v>31207</v>
      </c>
      <c r="P42" s="55">
        <f t="shared" si="50"/>
        <v>30843</v>
      </c>
      <c r="Q42" s="55">
        <f t="shared" si="50"/>
        <v>29474</v>
      </c>
      <c r="R42" s="55">
        <f>+V41</f>
        <v>28222</v>
      </c>
      <c r="S42" s="55">
        <v>27519</v>
      </c>
      <c r="T42" s="55">
        <v>26406</v>
      </c>
      <c r="U42" s="55">
        <v>25792</v>
      </c>
      <c r="V42" s="55">
        <v>25642</v>
      </c>
      <c r="W42" s="55">
        <v>25443</v>
      </c>
      <c r="X42" s="55">
        <v>23292</v>
      </c>
      <c r="Y42" s="55">
        <v>22318</v>
      </c>
      <c r="Z42" s="55">
        <v>22294</v>
      </c>
    </row>
    <row r="43" spans="1:27" x14ac:dyDescent="0.3">
      <c r="A43" s="22" t="s">
        <v>54</v>
      </c>
      <c r="B43" s="60">
        <f>B41-B42</f>
        <v>810</v>
      </c>
      <c r="C43" s="60">
        <f>C41-C42</f>
        <v>1184</v>
      </c>
      <c r="D43" s="60">
        <f>D41-D42</f>
        <v>3846</v>
      </c>
      <c r="E43" s="60">
        <f>E41-E42</f>
        <v>4399</v>
      </c>
      <c r="F43" s="60">
        <f>F41-F42</f>
        <v>3342</v>
      </c>
      <c r="G43" s="60">
        <f t="shared" ref="G43:H43" si="51">G41-G42</f>
        <v>3988</v>
      </c>
      <c r="H43" s="60">
        <f t="shared" si="51"/>
        <v>3246</v>
      </c>
      <c r="I43" s="60">
        <f t="shared" ref="I43:J43" si="52">I41-I42</f>
        <v>3210</v>
      </c>
      <c r="J43" s="60">
        <f t="shared" si="52"/>
        <v>2515</v>
      </c>
      <c r="K43" s="60">
        <f t="shared" ref="K43:L43" si="53">K41-K42</f>
        <v>2607</v>
      </c>
      <c r="L43" s="60">
        <f t="shared" si="53"/>
        <v>2314</v>
      </c>
      <c r="M43" s="60">
        <f t="shared" ref="M43:R43" si="54">M41-M42</f>
        <v>2358</v>
      </c>
      <c r="N43" s="60">
        <f t="shared" si="54"/>
        <v>3733</v>
      </c>
      <c r="O43" s="60">
        <f t="shared" si="54"/>
        <v>4285</v>
      </c>
      <c r="P43" s="60">
        <f t="shared" si="54"/>
        <v>4121</v>
      </c>
      <c r="Q43" s="60">
        <f t="shared" si="54"/>
        <v>4429</v>
      </c>
      <c r="R43" s="24">
        <f t="shared" si="54"/>
        <v>4361</v>
      </c>
      <c r="S43" s="24">
        <v>3688</v>
      </c>
      <c r="T43" s="24">
        <v>4437</v>
      </c>
      <c r="U43" s="24">
        <v>3682</v>
      </c>
      <c r="V43" s="24">
        <f t="shared" ref="V43:Z43" si="55">V41-V42</f>
        <v>2580</v>
      </c>
      <c r="W43" s="24">
        <f t="shared" si="55"/>
        <v>2076</v>
      </c>
      <c r="X43" s="24">
        <f t="shared" si="55"/>
        <v>3114</v>
      </c>
      <c r="Y43" s="24">
        <f t="shared" si="55"/>
        <v>3474</v>
      </c>
      <c r="Z43" s="24">
        <f t="shared" si="55"/>
        <v>3348</v>
      </c>
    </row>
    <row r="44" spans="1:27" x14ac:dyDescent="0.3">
      <c r="A44" s="22"/>
      <c r="F44" s="22"/>
      <c r="G44" s="22"/>
      <c r="H44" s="22"/>
      <c r="I44" s="22"/>
      <c r="J44" s="22"/>
      <c r="K44" s="22"/>
      <c r="L44" s="22"/>
      <c r="M44" s="22"/>
      <c r="N44" s="22"/>
      <c r="O44" s="22"/>
      <c r="P44" s="22"/>
      <c r="V44" s="22"/>
    </row>
    <row r="45" spans="1:27" ht="15" thickBot="1" x14ac:dyDescent="0.35">
      <c r="A45" s="29" t="s">
        <v>55</v>
      </c>
      <c r="B45" s="26">
        <f>B43/B42</f>
        <v>1.9206601380029876E-2</v>
      </c>
      <c r="C45" s="26">
        <f>C43/C42</f>
        <v>2.8132202342766175E-2</v>
      </c>
      <c r="D45" s="26">
        <f>D43/D42</f>
        <v>9.4906721942552563E-2</v>
      </c>
      <c r="E45" s="26">
        <f>E43/E42</f>
        <v>0.11144891185933976</v>
      </c>
      <c r="F45" s="26">
        <f>F43/F42</f>
        <v>8.6065257139913989E-2</v>
      </c>
      <c r="G45" s="26">
        <f t="shared" ref="G45:H45" si="56">G43/G42</f>
        <v>0.10467466337699152</v>
      </c>
      <c r="H45" s="26">
        <f t="shared" si="56"/>
        <v>8.707548688234347E-2</v>
      </c>
      <c r="I45" s="26">
        <f t="shared" ref="I45:J45" si="57">I43/I42</f>
        <v>8.8524861421361789E-2</v>
      </c>
      <c r="J45" s="26">
        <f t="shared" si="57"/>
        <v>6.9253221720453798E-2</v>
      </c>
      <c r="K45" s="26">
        <f t="shared" ref="K45:L45" si="58">K43/K42</f>
        <v>7.3453172545925843E-2</v>
      </c>
      <c r="L45" s="26">
        <f t="shared" si="58"/>
        <v>6.6182358997826332E-2</v>
      </c>
      <c r="M45" s="26">
        <f t="shared" ref="M45:R45" si="59">M43/M42</f>
        <v>6.9551367135651715E-2</v>
      </c>
      <c r="N45" s="26">
        <f t="shared" si="59"/>
        <v>0.11456894699690022</v>
      </c>
      <c r="O45" s="26">
        <f t="shared" si="59"/>
        <v>0.1373089370974461</v>
      </c>
      <c r="P45" s="26">
        <f t="shared" si="59"/>
        <v>0.13361216483480853</v>
      </c>
      <c r="Q45" s="26">
        <f t="shared" si="59"/>
        <v>0.15026803284250526</v>
      </c>
      <c r="R45" s="26">
        <f t="shared" si="59"/>
        <v>0.15452483877825809</v>
      </c>
      <c r="S45" s="26">
        <v>0.13401649769250337</v>
      </c>
      <c r="T45" s="26">
        <v>0.16802999318336742</v>
      </c>
      <c r="U45" s="26">
        <v>0.14275744416873448</v>
      </c>
      <c r="V45" s="26">
        <f t="shared" ref="V45:Y45" si="60">V43/V42</f>
        <v>0.10061617658528976</v>
      </c>
      <c r="W45" s="26">
        <f t="shared" si="60"/>
        <v>8.1594151633062134E-2</v>
      </c>
      <c r="X45" s="26">
        <f t="shared" si="60"/>
        <v>0.13369397217928902</v>
      </c>
      <c r="Y45" s="26">
        <f t="shared" si="60"/>
        <v>0.15565910923917914</v>
      </c>
      <c r="Z45" s="26">
        <f>Z43/Z42</f>
        <v>0.15017493496007894</v>
      </c>
    </row>
    <row r="46" spans="1:27" x14ac:dyDescent="0.3">
      <c r="F46" s="22"/>
      <c r="G46" s="22"/>
      <c r="H46" s="22"/>
      <c r="I46" s="22"/>
      <c r="J46" s="22"/>
      <c r="K46" s="22"/>
      <c r="L46" s="22"/>
      <c r="M46" s="22"/>
      <c r="N46" s="22"/>
      <c r="O46" s="22"/>
      <c r="P46" s="22"/>
    </row>
    <row r="47" spans="1:27" x14ac:dyDescent="0.3">
      <c r="B47" s="57"/>
      <c r="C47" s="57"/>
      <c r="D47" s="57"/>
      <c r="E47" s="57"/>
      <c r="F47" s="57"/>
      <c r="G47" s="57"/>
      <c r="H47" s="57"/>
      <c r="I47" s="57"/>
      <c r="J47" s="57"/>
      <c r="K47" s="57"/>
      <c r="L47" s="57"/>
      <c r="M47" s="57"/>
      <c r="N47" s="57"/>
      <c r="O47" s="57"/>
      <c r="P47" s="57"/>
      <c r="Q47" s="52"/>
      <c r="R47" s="52"/>
      <c r="S47" s="52"/>
      <c r="T47" s="52"/>
    </row>
    <row r="48" spans="1:27" x14ac:dyDescent="0.3">
      <c r="A48" s="22" t="s">
        <v>56</v>
      </c>
      <c r="B48" s="57">
        <f>B36</f>
        <v>28154</v>
      </c>
      <c r="C48" s="57">
        <f>C36</f>
        <v>28394</v>
      </c>
      <c r="D48" s="57">
        <f>D36</f>
        <v>27907</v>
      </c>
      <c r="E48" s="57">
        <f>E36</f>
        <v>26906</v>
      </c>
      <c r="F48" s="57">
        <f>F36</f>
        <v>26368</v>
      </c>
      <c r="G48" s="57">
        <f t="shared" ref="G48:K48" si="61">G36</f>
        <v>25733</v>
      </c>
      <c r="H48" s="57">
        <f t="shared" si="61"/>
        <v>25741</v>
      </c>
      <c r="I48" s="57">
        <f t="shared" si="61"/>
        <v>24528</v>
      </c>
      <c r="J48" s="57">
        <f t="shared" si="61"/>
        <v>24620</v>
      </c>
      <c r="K48" s="57">
        <f t="shared" si="61"/>
        <v>25203</v>
      </c>
      <c r="L48" s="57">
        <v>24607</v>
      </c>
      <c r="M48" s="57">
        <v>23863</v>
      </c>
      <c r="N48" s="57">
        <v>23976</v>
      </c>
      <c r="O48" s="57">
        <f>+O36</f>
        <v>24769</v>
      </c>
      <c r="P48" s="57">
        <f>+P36</f>
        <v>24912</v>
      </c>
      <c r="Q48" s="57">
        <f>+Q36</f>
        <v>23223</v>
      </c>
      <c r="R48" s="57">
        <f>+R36</f>
        <v>22287</v>
      </c>
      <c r="S48" s="57">
        <v>21233</v>
      </c>
      <c r="T48" s="57">
        <v>19140</v>
      </c>
      <c r="U48" s="57">
        <v>18122</v>
      </c>
      <c r="V48" s="57">
        <f>+V36</f>
        <v>17627</v>
      </c>
      <c r="W48" s="57">
        <f>+W36</f>
        <v>17334</v>
      </c>
      <c r="X48" s="57">
        <f t="shared" ref="X48:Z48" si="62">+X36</f>
        <v>16810</v>
      </c>
      <c r="Y48" s="57">
        <f>+Y36</f>
        <v>15953</v>
      </c>
      <c r="Z48" s="57">
        <f t="shared" si="62"/>
        <v>15360</v>
      </c>
    </row>
    <row r="49" spans="1:26" x14ac:dyDescent="0.3">
      <c r="A49" s="32" t="s">
        <v>57</v>
      </c>
      <c r="B49" s="55">
        <f>F48</f>
        <v>26368</v>
      </c>
      <c r="C49" s="55">
        <f>G48</f>
        <v>25733</v>
      </c>
      <c r="D49" s="55">
        <f>H48</f>
        <v>25741</v>
      </c>
      <c r="E49" s="55">
        <f>I48</f>
        <v>24528</v>
      </c>
      <c r="F49" s="55">
        <f>J48</f>
        <v>24620</v>
      </c>
      <c r="G49" s="55">
        <f t="shared" ref="G49:Q49" si="63">K48</f>
        <v>25203</v>
      </c>
      <c r="H49" s="55">
        <f t="shared" si="63"/>
        <v>24607</v>
      </c>
      <c r="I49" s="55">
        <f t="shared" si="63"/>
        <v>23863</v>
      </c>
      <c r="J49" s="55">
        <f t="shared" si="63"/>
        <v>23976</v>
      </c>
      <c r="K49" s="55">
        <f t="shared" si="63"/>
        <v>24769</v>
      </c>
      <c r="L49" s="55">
        <f t="shared" si="63"/>
        <v>24912</v>
      </c>
      <c r="M49" s="55">
        <f t="shared" si="63"/>
        <v>23223</v>
      </c>
      <c r="N49" s="55">
        <f t="shared" si="63"/>
        <v>22287</v>
      </c>
      <c r="O49" s="55">
        <f t="shared" si="63"/>
        <v>21233</v>
      </c>
      <c r="P49" s="55">
        <f t="shared" si="63"/>
        <v>19140</v>
      </c>
      <c r="Q49" s="55">
        <f t="shared" si="63"/>
        <v>18122</v>
      </c>
      <c r="R49" s="55">
        <f>+V48</f>
        <v>17627</v>
      </c>
      <c r="S49" s="55">
        <v>17334</v>
      </c>
      <c r="T49" s="55">
        <v>16810</v>
      </c>
      <c r="U49" s="55">
        <v>15953</v>
      </c>
      <c r="V49" s="55">
        <f>Z48</f>
        <v>15360</v>
      </c>
      <c r="W49" s="55">
        <v>15452</v>
      </c>
      <c r="X49" s="55">
        <v>15468</v>
      </c>
      <c r="Y49" s="55">
        <v>15106</v>
      </c>
      <c r="Z49" s="54">
        <v>14909</v>
      </c>
    </row>
    <row r="50" spans="1:26" x14ac:dyDescent="0.3">
      <c r="A50" s="22" t="s">
        <v>58</v>
      </c>
      <c r="B50" s="60">
        <f>B48-B49</f>
        <v>1786</v>
      </c>
      <c r="C50" s="60">
        <f>C48-C49</f>
        <v>2661</v>
      </c>
      <c r="D50" s="60">
        <f>D48-D49</f>
        <v>2166</v>
      </c>
      <c r="E50" s="60">
        <f>E48-E49</f>
        <v>2378</v>
      </c>
      <c r="F50" s="60">
        <f>F48-F49</f>
        <v>1748</v>
      </c>
      <c r="G50" s="60">
        <f t="shared" ref="G50:H50" si="64">G48-G49</f>
        <v>530</v>
      </c>
      <c r="H50" s="60">
        <f t="shared" si="64"/>
        <v>1134</v>
      </c>
      <c r="I50" s="60">
        <f t="shared" ref="I50:J50" si="65">I48-I49</f>
        <v>665</v>
      </c>
      <c r="J50" s="60">
        <f t="shared" si="65"/>
        <v>644</v>
      </c>
      <c r="K50" s="60">
        <f t="shared" ref="K50:L50" si="66">K48-K49</f>
        <v>434</v>
      </c>
      <c r="L50" s="60">
        <f t="shared" si="66"/>
        <v>-305</v>
      </c>
      <c r="M50" s="60">
        <f t="shared" ref="M50:R50" si="67">M48-M49</f>
        <v>640</v>
      </c>
      <c r="N50" s="60">
        <f t="shared" si="67"/>
        <v>1689</v>
      </c>
      <c r="O50" s="60">
        <f t="shared" si="67"/>
        <v>3536</v>
      </c>
      <c r="P50" s="60">
        <f t="shared" si="67"/>
        <v>5772</v>
      </c>
      <c r="Q50" s="60">
        <f t="shared" si="67"/>
        <v>5101</v>
      </c>
      <c r="R50" s="24">
        <f t="shared" si="67"/>
        <v>4660</v>
      </c>
      <c r="S50" s="24">
        <v>3899</v>
      </c>
      <c r="T50" s="24">
        <v>2330</v>
      </c>
      <c r="U50" s="24">
        <v>2169</v>
      </c>
      <c r="V50" s="24">
        <f t="shared" ref="V50:Z50" si="68">V48-V49</f>
        <v>2267</v>
      </c>
      <c r="W50" s="24">
        <f t="shared" si="68"/>
        <v>1882</v>
      </c>
      <c r="X50" s="24">
        <f t="shared" si="68"/>
        <v>1342</v>
      </c>
      <c r="Y50" s="24">
        <f t="shared" si="68"/>
        <v>847</v>
      </c>
      <c r="Z50" s="24">
        <f t="shared" si="68"/>
        <v>451</v>
      </c>
    </row>
    <row r="51" spans="1:26" x14ac:dyDescent="0.3">
      <c r="A51" s="22"/>
      <c r="F51" s="22"/>
      <c r="G51" s="22"/>
      <c r="H51" s="22"/>
      <c r="I51" s="22"/>
      <c r="J51" s="22"/>
      <c r="K51" s="22"/>
      <c r="L51" s="22"/>
      <c r="M51" s="22"/>
      <c r="N51" s="22"/>
      <c r="O51" s="22"/>
      <c r="P51" s="22"/>
      <c r="V51" s="22"/>
    </row>
    <row r="52" spans="1:26" ht="15" thickBot="1" x14ac:dyDescent="0.35">
      <c r="A52" s="29" t="s">
        <v>13</v>
      </c>
      <c r="B52" s="26">
        <f>B50/B49</f>
        <v>6.7733616504854363E-2</v>
      </c>
      <c r="C52" s="26">
        <f>C50/C49</f>
        <v>0.10340807523413516</v>
      </c>
      <c r="D52" s="26">
        <f>D50/D49</f>
        <v>8.414591507711433E-2</v>
      </c>
      <c r="E52" s="26">
        <f>E50/E49</f>
        <v>9.6950424005218527E-2</v>
      </c>
      <c r="F52" s="26">
        <f>F50/F49</f>
        <v>7.0999187652315193E-2</v>
      </c>
      <c r="G52" s="26">
        <f t="shared" ref="G52:H52" si="69">G50/G49</f>
        <v>2.1029242550490022E-2</v>
      </c>
      <c r="H52" s="26">
        <f t="shared" si="69"/>
        <v>4.6084447514934776E-2</v>
      </c>
      <c r="I52" s="26">
        <f t="shared" ref="I52:J52" si="70">I50/I49</f>
        <v>2.7867409797594604E-2</v>
      </c>
      <c r="J52" s="26">
        <f t="shared" si="70"/>
        <v>2.6860193526860192E-2</v>
      </c>
      <c r="K52" s="26">
        <f t="shared" ref="K52:L52" si="71">K50/K49</f>
        <v>1.7521902377972465E-2</v>
      </c>
      <c r="L52" s="26">
        <f t="shared" si="71"/>
        <v>-1.2243095696852922E-2</v>
      </c>
      <c r="M52" s="26">
        <f t="shared" ref="M52:R52" si="72">M50/M49</f>
        <v>2.7558885587564051E-2</v>
      </c>
      <c r="N52" s="26">
        <f t="shared" si="72"/>
        <v>7.578408937945888E-2</v>
      </c>
      <c r="O52" s="26">
        <f t="shared" si="72"/>
        <v>0.16653322658126501</v>
      </c>
      <c r="P52" s="26">
        <f t="shared" si="72"/>
        <v>0.30156739811912225</v>
      </c>
      <c r="Q52" s="26">
        <f t="shared" si="72"/>
        <v>0.2814810727292793</v>
      </c>
      <c r="R52" s="26">
        <f t="shared" si="72"/>
        <v>0.26436716400975774</v>
      </c>
      <c r="S52" s="26">
        <v>0.22493365639783086</v>
      </c>
      <c r="T52" s="26">
        <v>0.13860797144556811</v>
      </c>
      <c r="U52" s="26">
        <v>0.13596188804613552</v>
      </c>
      <c r="V52" s="26">
        <f t="shared" ref="V52:Z52" si="73">V50/V49</f>
        <v>0.14759114583333333</v>
      </c>
      <c r="W52" s="26">
        <f t="shared" si="73"/>
        <v>0.12179653119337303</v>
      </c>
      <c r="X52" s="26">
        <f t="shared" si="73"/>
        <v>8.6759762089475043E-2</v>
      </c>
      <c r="Y52" s="26">
        <f t="shared" si="73"/>
        <v>5.6070435588507876E-2</v>
      </c>
      <c r="Z52" s="26">
        <f t="shared" si="73"/>
        <v>3.0250184452344221E-2</v>
      </c>
    </row>
    <row r="53" spans="1:26" x14ac:dyDescent="0.3">
      <c r="F53" s="22"/>
      <c r="G53" s="22"/>
      <c r="H53" s="22"/>
      <c r="I53" s="22"/>
      <c r="J53" s="22"/>
      <c r="K53" s="22"/>
      <c r="L53" s="22"/>
      <c r="M53" s="22"/>
      <c r="N53" s="22"/>
      <c r="O53" s="22"/>
      <c r="P53" s="22"/>
    </row>
    <row r="54" spans="1:26" x14ac:dyDescent="0.3">
      <c r="F54" s="22"/>
      <c r="G54" s="22"/>
      <c r="H54" s="22"/>
      <c r="I54" s="22"/>
      <c r="J54" s="22"/>
      <c r="K54" s="22"/>
      <c r="L54" s="22"/>
      <c r="M54" s="22"/>
      <c r="N54" s="22"/>
      <c r="O54" s="22"/>
      <c r="P54" s="22"/>
    </row>
    <row r="55" spans="1:26" x14ac:dyDescent="0.3">
      <c r="A55" t="s">
        <v>44</v>
      </c>
      <c r="B55" s="57">
        <f>+B22</f>
        <v>54392</v>
      </c>
      <c r="C55" s="57">
        <f>+C22</f>
        <v>54996</v>
      </c>
      <c r="D55" s="57">
        <f>+D22</f>
        <v>55140</v>
      </c>
      <c r="E55" s="57">
        <f>+E22</f>
        <v>53135</v>
      </c>
      <c r="F55" s="57">
        <f>+F22</f>
        <v>52518</v>
      </c>
      <c r="G55" s="57">
        <f t="shared" ref="G55:H55" si="74">+G22</f>
        <v>51781</v>
      </c>
      <c r="H55" s="57">
        <f t="shared" si="74"/>
        <v>51041</v>
      </c>
      <c r="I55" s="57">
        <f t="shared" ref="I55:J55" si="75">+I22</f>
        <v>48488</v>
      </c>
      <c r="J55" s="57">
        <f t="shared" si="75"/>
        <v>47961</v>
      </c>
      <c r="K55" s="57">
        <f t="shared" ref="K55:L55" si="76">+K22</f>
        <v>47859</v>
      </c>
      <c r="L55" s="57">
        <f t="shared" si="76"/>
        <v>46055</v>
      </c>
      <c r="M55" s="57">
        <f t="shared" ref="M55:R55" si="77">+M22</f>
        <v>45462</v>
      </c>
      <c r="N55" s="57">
        <f t="shared" si="77"/>
        <v>44998</v>
      </c>
      <c r="O55" s="57">
        <f t="shared" si="77"/>
        <v>44428</v>
      </c>
      <c r="P55" s="57">
        <f t="shared" si="77"/>
        <v>44610</v>
      </c>
      <c r="Q55" s="57">
        <f t="shared" si="77"/>
        <v>42965</v>
      </c>
      <c r="R55" s="57">
        <f t="shared" si="77"/>
        <v>41876</v>
      </c>
      <c r="S55" s="57">
        <v>40482</v>
      </c>
      <c r="T55" s="57">
        <v>38202</v>
      </c>
      <c r="U55" s="57">
        <v>36797</v>
      </c>
      <c r="V55" s="57">
        <v>35767</v>
      </c>
      <c r="W55" s="57">
        <v>34871</v>
      </c>
      <c r="X55" s="57">
        <v>33816</v>
      </c>
      <c r="Y55" s="57">
        <v>33303</v>
      </c>
      <c r="Z55" s="57">
        <v>31917</v>
      </c>
    </row>
    <row r="56" spans="1:26" ht="15" thickBot="1" x14ac:dyDescent="0.35">
      <c r="A56" s="29" t="s">
        <v>59</v>
      </c>
      <c r="B56" s="40">
        <f>(B55+C55+D55+E55+F55)/5</f>
        <v>54036.2</v>
      </c>
      <c r="C56" s="40">
        <f>(C55+D55+E55+F55)/4</f>
        <v>53947.25</v>
      </c>
      <c r="D56" s="40">
        <f>(D55+E55+F55)/3</f>
        <v>53597.666666666664</v>
      </c>
      <c r="E56" s="40">
        <f>(E55+F55)/2</f>
        <v>52826.5</v>
      </c>
      <c r="F56" s="40">
        <f>(F55+G55+H55+I55+J55)/5</f>
        <v>50357.8</v>
      </c>
      <c r="G56" s="40">
        <f>(G55+H55+I55+J55)/4</f>
        <v>49817.75</v>
      </c>
      <c r="H56" s="40">
        <f>(H55+I55+J55)/3</f>
        <v>49163.333333333336</v>
      </c>
      <c r="I56" s="40">
        <f>(I55+J55)/2</f>
        <v>48224.5</v>
      </c>
      <c r="J56" s="40">
        <f>(J55+K55+L55+M55+N55)/5</f>
        <v>46467</v>
      </c>
      <c r="K56" s="40">
        <f>(K55+L55+M55+N55)/4</f>
        <v>46093.5</v>
      </c>
      <c r="L56" s="40">
        <f>(L55+M55+N55)/3</f>
        <v>45505</v>
      </c>
      <c r="M56" s="40">
        <f>(M55+N55)/2</f>
        <v>45230</v>
      </c>
      <c r="N56" s="40">
        <f>(N55+O55+P55+Q55+R55)/5</f>
        <v>43775.4</v>
      </c>
      <c r="O56" s="40">
        <f>(O55+P55+Q55+R55)/4</f>
        <v>43469.75</v>
      </c>
      <c r="P56" s="40">
        <f>(P55+Q55+R55)/3</f>
        <v>43150.333333333336</v>
      </c>
      <c r="Q56" s="40">
        <f>AVERAGE(Q55:R55)</f>
        <v>42420.5</v>
      </c>
      <c r="R56" s="40">
        <f>AVERAGE(R55:V55)</f>
        <v>38624.800000000003</v>
      </c>
      <c r="S56" s="40">
        <v>37812</v>
      </c>
      <c r="T56" s="40">
        <v>36922</v>
      </c>
      <c r="U56" s="40">
        <f>AVERAGE(U55:V55)</f>
        <v>36282</v>
      </c>
      <c r="V56" s="40">
        <f>AVERAGE(V55:Z55)</f>
        <v>33934.800000000003</v>
      </c>
      <c r="W56" s="40">
        <f>AVERAGE(W55:Z55)</f>
        <v>33476.75</v>
      </c>
      <c r="X56" s="40">
        <f>AVERAGE(X55:Z55)</f>
        <v>33012</v>
      </c>
      <c r="Y56" s="40">
        <f>AVERAGE(Y55:Z55)</f>
        <v>32610</v>
      </c>
      <c r="Z56" s="40">
        <v>30315</v>
      </c>
    </row>
    <row r="57" spans="1:26" x14ac:dyDescent="0.3">
      <c r="F57" s="22"/>
      <c r="G57" s="22"/>
      <c r="H57" s="22"/>
      <c r="I57" s="22"/>
      <c r="J57" s="22"/>
      <c r="K57" s="22"/>
      <c r="L57" s="22"/>
      <c r="M57" s="22"/>
      <c r="N57" s="22"/>
      <c r="O57" s="22"/>
      <c r="P57" s="22"/>
    </row>
    <row r="58" spans="1:26" x14ac:dyDescent="0.3">
      <c r="B58" s="57"/>
      <c r="C58" s="57"/>
      <c r="D58" s="57"/>
      <c r="E58" s="57"/>
      <c r="F58" s="57"/>
      <c r="G58" s="57"/>
      <c r="H58" s="57"/>
      <c r="I58" s="57"/>
      <c r="J58" s="57"/>
      <c r="K58" s="57"/>
      <c r="L58" s="57"/>
      <c r="M58" s="57"/>
      <c r="N58" s="57"/>
      <c r="O58" s="57"/>
      <c r="P58" s="57"/>
      <c r="Q58" s="52"/>
      <c r="R58" s="52"/>
      <c r="S58" s="52"/>
      <c r="T58" s="52"/>
    </row>
    <row r="59" spans="1:26" x14ac:dyDescent="0.3">
      <c r="A59" t="s">
        <v>60</v>
      </c>
      <c r="B59" s="60">
        <f>+B41</f>
        <v>42983</v>
      </c>
      <c r="C59" s="60">
        <f>+C41</f>
        <v>43271</v>
      </c>
      <c r="D59" s="60">
        <f>+D41</f>
        <v>44370</v>
      </c>
      <c r="E59" s="60">
        <f>+E41</f>
        <v>43870</v>
      </c>
      <c r="F59" s="60">
        <f>+F41</f>
        <v>42173</v>
      </c>
      <c r="G59" s="60">
        <f t="shared" ref="G59:H59" si="78">+G41</f>
        <v>42087</v>
      </c>
      <c r="H59" s="60">
        <f t="shared" si="78"/>
        <v>40524</v>
      </c>
      <c r="I59" s="60">
        <f t="shared" ref="I59:J59" si="79">+I41</f>
        <v>39471</v>
      </c>
      <c r="J59" s="60">
        <f t="shared" si="79"/>
        <v>38831</v>
      </c>
      <c r="K59" s="60">
        <f t="shared" ref="K59:L59" si="80">+K41</f>
        <v>38099</v>
      </c>
      <c r="L59" s="60">
        <f t="shared" si="80"/>
        <v>37278</v>
      </c>
      <c r="M59" s="60">
        <f t="shared" ref="M59:R59" si="81">+M41</f>
        <v>36261</v>
      </c>
      <c r="N59" s="60">
        <f t="shared" si="81"/>
        <v>36316</v>
      </c>
      <c r="O59" s="60">
        <f t="shared" si="81"/>
        <v>35492</v>
      </c>
      <c r="P59" s="60">
        <f t="shared" si="81"/>
        <v>34964</v>
      </c>
      <c r="Q59" s="60">
        <f t="shared" si="81"/>
        <v>33903</v>
      </c>
      <c r="R59" s="24">
        <f t="shared" si="81"/>
        <v>32583</v>
      </c>
      <c r="S59" s="24">
        <v>31207</v>
      </c>
      <c r="T59" s="24">
        <v>30843</v>
      </c>
      <c r="U59" s="24">
        <v>29474</v>
      </c>
      <c r="V59" s="24">
        <v>28222</v>
      </c>
      <c r="W59" s="24">
        <v>27519</v>
      </c>
      <c r="X59" s="24">
        <v>26406</v>
      </c>
      <c r="Y59" s="24">
        <v>25792</v>
      </c>
      <c r="Z59" s="24">
        <v>25600</v>
      </c>
    </row>
    <row r="60" spans="1:26" x14ac:dyDescent="0.3">
      <c r="A60" t="s">
        <v>104</v>
      </c>
      <c r="B60" s="60">
        <v>20750</v>
      </c>
      <c r="C60" s="60">
        <v>20716</v>
      </c>
      <c r="D60" s="60">
        <v>20394</v>
      </c>
      <c r="E60" s="60">
        <v>20142</v>
      </c>
      <c r="F60" s="60">
        <v>19966</v>
      </c>
      <c r="G60" s="60">
        <v>19211</v>
      </c>
      <c r="H60" s="60">
        <v>19149</v>
      </c>
      <c r="I60" s="60">
        <v>18894</v>
      </c>
      <c r="J60" s="60">
        <v>18448</v>
      </c>
      <c r="K60" s="60">
        <v>18205</v>
      </c>
      <c r="L60" s="60">
        <v>18171</v>
      </c>
      <c r="M60" s="60">
        <v>18199</v>
      </c>
      <c r="N60" s="60">
        <v>17742</v>
      </c>
      <c r="O60" s="60">
        <v>16956</v>
      </c>
      <c r="P60" s="60">
        <v>16705</v>
      </c>
      <c r="Q60" s="60">
        <v>16259</v>
      </c>
      <c r="R60" s="24">
        <v>15991</v>
      </c>
      <c r="S60" s="24">
        <v>15299</v>
      </c>
      <c r="T60" s="24">
        <v>14970</v>
      </c>
      <c r="U60" s="24">
        <v>14802</v>
      </c>
      <c r="V60" s="24">
        <v>14489</v>
      </c>
      <c r="W60" s="24">
        <v>14116</v>
      </c>
      <c r="X60" s="24">
        <v>13764</v>
      </c>
      <c r="Y60" s="24">
        <v>13873</v>
      </c>
      <c r="Z60" s="24">
        <v>12892</v>
      </c>
    </row>
    <row r="61" spans="1:26" x14ac:dyDescent="0.3">
      <c r="A61" t="s">
        <v>105</v>
      </c>
      <c r="B61" s="60">
        <v>3708</v>
      </c>
      <c r="C61" s="60">
        <v>3709</v>
      </c>
      <c r="D61" s="60">
        <v>3561</v>
      </c>
      <c r="E61" s="60">
        <v>3722</v>
      </c>
      <c r="F61" s="60">
        <v>3719</v>
      </c>
      <c r="G61" s="60">
        <v>3573</v>
      </c>
      <c r="H61" s="60">
        <v>3724</v>
      </c>
      <c r="I61" s="60">
        <v>3729</v>
      </c>
      <c r="J61" s="60">
        <v>3732</v>
      </c>
      <c r="K61" s="60">
        <v>3638</v>
      </c>
      <c r="L61" s="60">
        <v>3551</v>
      </c>
      <c r="M61" s="60">
        <v>3054</v>
      </c>
      <c r="N61" s="60">
        <v>3061</v>
      </c>
      <c r="O61" s="60">
        <v>3107</v>
      </c>
      <c r="P61" s="60">
        <v>2873</v>
      </c>
      <c r="Q61" s="60">
        <v>3231</v>
      </c>
      <c r="R61" s="24">
        <v>3271</v>
      </c>
      <c r="S61" s="24">
        <v>3412</v>
      </c>
      <c r="T61" s="24">
        <v>3629</v>
      </c>
      <c r="U61" s="24">
        <v>3926</v>
      </c>
      <c r="V61" s="24">
        <v>4008</v>
      </c>
      <c r="W61" s="24">
        <v>4123</v>
      </c>
      <c r="X61" s="24">
        <v>4226</v>
      </c>
      <c r="Y61" s="24">
        <v>4058</v>
      </c>
      <c r="Z61" s="24">
        <v>4086</v>
      </c>
    </row>
    <row r="62" spans="1:26" ht="15" thickBot="1" x14ac:dyDescent="0.35">
      <c r="A62" s="29" t="s">
        <v>19</v>
      </c>
      <c r="B62" s="40">
        <f>SUM(B59:B61)</f>
        <v>67441</v>
      </c>
      <c r="C62" s="40">
        <f>SUM(C59:C61)</f>
        <v>67696</v>
      </c>
      <c r="D62" s="40">
        <f>SUM(D59:D61)</f>
        <v>68325</v>
      </c>
      <c r="E62" s="40">
        <f>SUM(E59:E61)</f>
        <v>67734</v>
      </c>
      <c r="F62" s="40">
        <f>SUM(F59:F61)</f>
        <v>65858</v>
      </c>
      <c r="G62" s="40">
        <f t="shared" ref="G62:H62" si="82">SUM(G59:G61)</f>
        <v>64871</v>
      </c>
      <c r="H62" s="40">
        <f t="shared" si="82"/>
        <v>63397</v>
      </c>
      <c r="I62" s="40">
        <f t="shared" ref="I62:J62" si="83">SUM(I59:I61)</f>
        <v>62094</v>
      </c>
      <c r="J62" s="40">
        <f t="shared" si="83"/>
        <v>61011</v>
      </c>
      <c r="K62" s="40">
        <f t="shared" ref="K62:L62" si="84">SUM(K59:K61)</f>
        <v>59942</v>
      </c>
      <c r="L62" s="40">
        <f t="shared" si="84"/>
        <v>59000</v>
      </c>
      <c r="M62" s="40">
        <f t="shared" ref="M62:R62" si="85">SUM(M59:M61)</f>
        <v>57514</v>
      </c>
      <c r="N62" s="40">
        <f t="shared" si="85"/>
        <v>57119</v>
      </c>
      <c r="O62" s="40">
        <f t="shared" si="85"/>
        <v>55555</v>
      </c>
      <c r="P62" s="40">
        <f t="shared" si="85"/>
        <v>54542</v>
      </c>
      <c r="Q62" s="40">
        <f t="shared" si="85"/>
        <v>53393</v>
      </c>
      <c r="R62" s="40">
        <f t="shared" si="85"/>
        <v>51845</v>
      </c>
      <c r="S62" s="40">
        <v>49918</v>
      </c>
      <c r="T62" s="40">
        <v>49442</v>
      </c>
      <c r="U62" s="40">
        <v>48202</v>
      </c>
      <c r="V62" s="40">
        <f t="shared" ref="V62:Z62" si="86">SUM(V59:V61)</f>
        <v>46719</v>
      </c>
      <c r="W62" s="40">
        <f t="shared" si="86"/>
        <v>45758</v>
      </c>
      <c r="X62" s="40">
        <f t="shared" si="86"/>
        <v>44396</v>
      </c>
      <c r="Y62" s="40">
        <f t="shared" si="86"/>
        <v>43723</v>
      </c>
      <c r="Z62" s="40">
        <f t="shared" si="86"/>
        <v>42578</v>
      </c>
    </row>
    <row r="63" spans="1:26" x14ac:dyDescent="0.3">
      <c r="F63" s="22"/>
      <c r="G63" s="22"/>
      <c r="H63" s="22"/>
      <c r="I63" s="22"/>
      <c r="J63" s="22"/>
      <c r="K63" s="22"/>
      <c r="L63" s="22"/>
      <c r="M63" s="22"/>
      <c r="N63" s="22"/>
      <c r="O63" s="22"/>
      <c r="P63" s="22"/>
    </row>
    <row r="64" spans="1:26" x14ac:dyDescent="0.3">
      <c r="F64" s="22"/>
      <c r="G64" s="22"/>
      <c r="H64" s="22"/>
      <c r="I64" s="22"/>
      <c r="J64" s="22"/>
      <c r="K64" s="22"/>
      <c r="L64" s="22"/>
      <c r="M64" s="22"/>
      <c r="N64" s="22"/>
      <c r="O64" s="22"/>
      <c r="P64" s="22"/>
    </row>
    <row r="65" spans="1:26" ht="28.8" x14ac:dyDescent="0.3">
      <c r="A65" s="10" t="s">
        <v>61</v>
      </c>
      <c r="B65" s="57">
        <f>+B62</f>
        <v>67441</v>
      </c>
      <c r="C65" s="57">
        <f>+C62</f>
        <v>67696</v>
      </c>
      <c r="D65" s="57">
        <f>+D62</f>
        <v>68325</v>
      </c>
      <c r="E65" s="57">
        <f>+E62</f>
        <v>67734</v>
      </c>
      <c r="F65" s="57">
        <f>+F62</f>
        <v>65858</v>
      </c>
      <c r="G65" s="57">
        <f t="shared" ref="G65:H65" si="87">+G62</f>
        <v>64871</v>
      </c>
      <c r="H65" s="57">
        <f t="shared" si="87"/>
        <v>63397</v>
      </c>
      <c r="I65" s="57">
        <f t="shared" ref="I65:J65" si="88">+I62</f>
        <v>62094</v>
      </c>
      <c r="J65" s="57">
        <f t="shared" si="88"/>
        <v>61011</v>
      </c>
      <c r="K65" s="57">
        <f t="shared" ref="K65:L65" si="89">+K62</f>
        <v>59942</v>
      </c>
      <c r="L65" s="57">
        <f t="shared" si="89"/>
        <v>59000</v>
      </c>
      <c r="M65" s="57">
        <f t="shared" ref="M65:R65" si="90">+M62</f>
        <v>57514</v>
      </c>
      <c r="N65" s="57">
        <f t="shared" si="90"/>
        <v>57119</v>
      </c>
      <c r="O65" s="57">
        <f t="shared" si="90"/>
        <v>55555</v>
      </c>
      <c r="P65" s="57">
        <f t="shared" si="90"/>
        <v>54542</v>
      </c>
      <c r="Q65" s="57">
        <f t="shared" si="90"/>
        <v>53393</v>
      </c>
      <c r="R65" s="57">
        <f t="shared" si="90"/>
        <v>51845</v>
      </c>
      <c r="S65" s="57">
        <v>49918</v>
      </c>
      <c r="T65" s="57">
        <v>49442</v>
      </c>
      <c r="U65" s="57">
        <v>48202</v>
      </c>
      <c r="V65" s="57">
        <f t="shared" ref="V65:Z65" si="91">+V62</f>
        <v>46719</v>
      </c>
      <c r="W65" s="57">
        <f t="shared" si="91"/>
        <v>45758</v>
      </c>
      <c r="X65" s="57">
        <f t="shared" si="91"/>
        <v>44396</v>
      </c>
      <c r="Y65" s="57">
        <f t="shared" si="91"/>
        <v>43723</v>
      </c>
      <c r="Z65" s="57">
        <f t="shared" si="91"/>
        <v>42578</v>
      </c>
    </row>
    <row r="66" spans="1:26" ht="28.8" x14ac:dyDescent="0.3">
      <c r="A66" s="12" t="s">
        <v>62</v>
      </c>
      <c r="B66" s="55">
        <f t="shared" ref="B66:H66" si="92">+F65</f>
        <v>65858</v>
      </c>
      <c r="C66" s="55">
        <f t="shared" si="92"/>
        <v>64871</v>
      </c>
      <c r="D66" s="55">
        <f t="shared" si="92"/>
        <v>63397</v>
      </c>
      <c r="E66" s="55">
        <f t="shared" si="92"/>
        <v>62094</v>
      </c>
      <c r="F66" s="55">
        <f t="shared" si="92"/>
        <v>61011</v>
      </c>
      <c r="G66" s="55">
        <f t="shared" si="92"/>
        <v>59942</v>
      </c>
      <c r="H66" s="55">
        <f t="shared" si="92"/>
        <v>59000</v>
      </c>
      <c r="I66" s="55">
        <f t="shared" ref="I66:R66" si="93">+M65</f>
        <v>57514</v>
      </c>
      <c r="J66" s="55">
        <f t="shared" si="93"/>
        <v>57119</v>
      </c>
      <c r="K66" s="55">
        <f t="shared" si="93"/>
        <v>55555</v>
      </c>
      <c r="L66" s="55">
        <f t="shared" si="93"/>
        <v>54542</v>
      </c>
      <c r="M66" s="55">
        <f t="shared" si="93"/>
        <v>53393</v>
      </c>
      <c r="N66" s="55">
        <f t="shared" si="93"/>
        <v>51845</v>
      </c>
      <c r="O66" s="55">
        <f t="shared" si="93"/>
        <v>49918</v>
      </c>
      <c r="P66" s="55">
        <f t="shared" si="93"/>
        <v>49442</v>
      </c>
      <c r="Q66" s="55">
        <f t="shared" si="93"/>
        <v>48202</v>
      </c>
      <c r="R66" s="55">
        <f t="shared" si="93"/>
        <v>46719</v>
      </c>
      <c r="S66" s="55">
        <v>45758</v>
      </c>
      <c r="T66" s="55">
        <v>44396</v>
      </c>
      <c r="U66" s="55">
        <v>43723</v>
      </c>
      <c r="V66" s="55">
        <f>Z65</f>
        <v>42578</v>
      </c>
      <c r="W66" s="55">
        <v>42323</v>
      </c>
      <c r="X66" s="55">
        <v>39860</v>
      </c>
      <c r="Y66" s="55">
        <v>38508</v>
      </c>
      <c r="Z66" s="55">
        <v>38851</v>
      </c>
    </row>
    <row r="67" spans="1:26" x14ac:dyDescent="0.3">
      <c r="A67" t="s">
        <v>63</v>
      </c>
      <c r="B67" s="57">
        <f t="shared" ref="B67" si="94">B65-B66</f>
        <v>1583</v>
      </c>
      <c r="C67" s="57">
        <f t="shared" ref="C67:H67" si="95">C65-C66</f>
        <v>2825</v>
      </c>
      <c r="D67" s="57">
        <f t="shared" si="95"/>
        <v>4928</v>
      </c>
      <c r="E67" s="57">
        <f t="shared" si="95"/>
        <v>5640</v>
      </c>
      <c r="F67" s="57">
        <f t="shared" si="95"/>
        <v>4847</v>
      </c>
      <c r="G67" s="57">
        <f t="shared" si="95"/>
        <v>4929</v>
      </c>
      <c r="H67" s="57">
        <f t="shared" si="95"/>
        <v>4397</v>
      </c>
      <c r="I67" s="57">
        <f t="shared" ref="I67:J67" si="96">I65-I66</f>
        <v>4580</v>
      </c>
      <c r="J67" s="57">
        <f t="shared" si="96"/>
        <v>3892</v>
      </c>
      <c r="K67" s="57">
        <f t="shared" ref="K67:L67" si="97">K65-K66</f>
        <v>4387</v>
      </c>
      <c r="L67" s="57">
        <f t="shared" si="97"/>
        <v>4458</v>
      </c>
      <c r="M67" s="57">
        <f t="shared" ref="M67:R67" si="98">M65-M66</f>
        <v>4121</v>
      </c>
      <c r="N67" s="57">
        <f t="shared" si="98"/>
        <v>5274</v>
      </c>
      <c r="O67" s="57">
        <f t="shared" si="98"/>
        <v>5637</v>
      </c>
      <c r="P67" s="57">
        <f t="shared" si="98"/>
        <v>5100</v>
      </c>
      <c r="Q67" s="57">
        <f t="shared" si="98"/>
        <v>5191</v>
      </c>
      <c r="R67" s="57">
        <f t="shared" si="98"/>
        <v>5126</v>
      </c>
      <c r="S67" s="57">
        <v>4160</v>
      </c>
      <c r="T67" s="57">
        <v>5046</v>
      </c>
      <c r="U67" s="57">
        <v>4479</v>
      </c>
      <c r="V67" s="57">
        <f t="shared" ref="V67:Z67" si="99">V65-V66</f>
        <v>4141</v>
      </c>
      <c r="W67" s="57">
        <f t="shared" si="99"/>
        <v>3435</v>
      </c>
      <c r="X67" s="57">
        <f t="shared" si="99"/>
        <v>4536</v>
      </c>
      <c r="Y67" s="57">
        <f t="shared" si="99"/>
        <v>5215</v>
      </c>
      <c r="Z67" s="57">
        <f t="shared" si="99"/>
        <v>3727</v>
      </c>
    </row>
    <row r="68" spans="1:26" ht="28.8" x14ac:dyDescent="0.3">
      <c r="A68" s="12" t="s">
        <v>64</v>
      </c>
      <c r="B68" s="55">
        <f t="shared" ref="B68" si="100">B66</f>
        <v>65858</v>
      </c>
      <c r="C68" s="55">
        <f t="shared" ref="C68:H68" si="101">C66</f>
        <v>64871</v>
      </c>
      <c r="D68" s="55">
        <f t="shared" si="101"/>
        <v>63397</v>
      </c>
      <c r="E68" s="55">
        <f t="shared" si="101"/>
        <v>62094</v>
      </c>
      <c r="F68" s="55">
        <f t="shared" si="101"/>
        <v>61011</v>
      </c>
      <c r="G68" s="55">
        <f t="shared" si="101"/>
        <v>59942</v>
      </c>
      <c r="H68" s="55">
        <f t="shared" si="101"/>
        <v>59000</v>
      </c>
      <c r="I68" s="55">
        <f t="shared" ref="I68:J68" si="102">I66</f>
        <v>57514</v>
      </c>
      <c r="J68" s="55">
        <f t="shared" si="102"/>
        <v>57119</v>
      </c>
      <c r="K68" s="55">
        <f t="shared" ref="K68:L68" si="103">K66</f>
        <v>55555</v>
      </c>
      <c r="L68" s="55">
        <f t="shared" si="103"/>
        <v>54542</v>
      </c>
      <c r="M68" s="55">
        <f t="shared" ref="M68:R68" si="104">M66</f>
        <v>53393</v>
      </c>
      <c r="N68" s="55">
        <f t="shared" si="104"/>
        <v>51845</v>
      </c>
      <c r="O68" s="55">
        <f t="shared" si="104"/>
        <v>49918</v>
      </c>
      <c r="P68" s="55">
        <f t="shared" si="104"/>
        <v>49442</v>
      </c>
      <c r="Q68" s="55">
        <f t="shared" si="104"/>
        <v>48202</v>
      </c>
      <c r="R68" s="55">
        <f t="shared" si="104"/>
        <v>46719</v>
      </c>
      <c r="S68" s="55">
        <v>45758</v>
      </c>
      <c r="T68" s="55">
        <v>44396</v>
      </c>
      <c r="U68" s="55">
        <v>43723</v>
      </c>
      <c r="V68" s="55">
        <f t="shared" ref="V68:Z68" si="105">V66</f>
        <v>42578</v>
      </c>
      <c r="W68" s="55">
        <f t="shared" si="105"/>
        <v>42323</v>
      </c>
      <c r="X68" s="55">
        <f t="shared" si="105"/>
        <v>39860</v>
      </c>
      <c r="Y68" s="55">
        <f t="shared" si="105"/>
        <v>38508</v>
      </c>
      <c r="Z68" s="55">
        <f t="shared" si="105"/>
        <v>38851</v>
      </c>
    </row>
    <row r="69" spans="1:26" ht="15" thickBot="1" x14ac:dyDescent="0.35">
      <c r="A69" s="30" t="s">
        <v>20</v>
      </c>
      <c r="B69" s="19">
        <f t="shared" ref="B69" si="106">B67/B68</f>
        <v>2.4036563515442314E-2</v>
      </c>
      <c r="C69" s="19">
        <f t="shared" ref="C69:H69" si="107">C67/C68</f>
        <v>4.3547964421698449E-2</v>
      </c>
      <c r="D69" s="19">
        <f t="shared" si="107"/>
        <v>7.7732384813161512E-2</v>
      </c>
      <c r="E69" s="19">
        <f t="shared" si="107"/>
        <v>9.0830031887138854E-2</v>
      </c>
      <c r="F69" s="19">
        <f t="shared" si="107"/>
        <v>7.944469030174886E-2</v>
      </c>
      <c r="G69" s="19">
        <f t="shared" si="107"/>
        <v>8.2229488505555365E-2</v>
      </c>
      <c r="H69" s="19">
        <f t="shared" si="107"/>
        <v>7.4525423728813558E-2</v>
      </c>
      <c r="I69" s="19">
        <f t="shared" ref="I69:J69" si="108">I67/I68</f>
        <v>7.9632785061028624E-2</v>
      </c>
      <c r="J69" s="19">
        <f t="shared" si="108"/>
        <v>6.8138447801957311E-2</v>
      </c>
      <c r="K69" s="19">
        <f t="shared" ref="K69:L69" si="109">K67/K68</f>
        <v>7.8966789667896678E-2</v>
      </c>
      <c r="L69" s="19">
        <f t="shared" si="109"/>
        <v>8.1735176561182205E-2</v>
      </c>
      <c r="M69" s="19">
        <f t="shared" ref="M69:R69" si="110">M67/M68</f>
        <v>7.7182402187552679E-2</v>
      </c>
      <c r="N69" s="19">
        <f t="shared" si="110"/>
        <v>0.10172629954672582</v>
      </c>
      <c r="O69" s="19">
        <f t="shared" si="110"/>
        <v>0.11292519732361073</v>
      </c>
      <c r="P69" s="19">
        <f t="shared" si="110"/>
        <v>0.1031511670239877</v>
      </c>
      <c r="Q69" s="19">
        <f t="shared" si="110"/>
        <v>0.10769262686195594</v>
      </c>
      <c r="R69" s="19">
        <f t="shared" si="110"/>
        <v>0.10971981420835206</v>
      </c>
      <c r="S69" s="19">
        <v>9.0913064382184536E-2</v>
      </c>
      <c r="T69" s="19">
        <v>0.11365888818812506</v>
      </c>
      <c r="U69" s="19">
        <v>0.10244036319557212</v>
      </c>
      <c r="V69" s="19">
        <f t="shared" ref="V69:Y69" si="111">V67/V68</f>
        <v>9.7256799286016257E-2</v>
      </c>
      <c r="W69" s="19">
        <f t="shared" si="111"/>
        <v>8.1161543368853811E-2</v>
      </c>
      <c r="X69" s="19">
        <f t="shared" si="111"/>
        <v>0.11379829402910185</v>
      </c>
      <c r="Y69" s="19">
        <f t="shared" si="111"/>
        <v>0.13542640490287733</v>
      </c>
      <c r="Z69" s="19">
        <f>Z67/Z68+0.001</f>
        <v>9.693060667679082E-2</v>
      </c>
    </row>
    <row r="70" spans="1:26" x14ac:dyDescent="0.3">
      <c r="F70" s="22"/>
      <c r="G70" s="22"/>
      <c r="H70" s="22"/>
      <c r="I70" s="22"/>
      <c r="J70" s="22"/>
      <c r="K70" s="22"/>
      <c r="L70" s="22"/>
      <c r="M70" s="22"/>
      <c r="N70" s="22"/>
      <c r="O70" s="22"/>
      <c r="P70" s="22"/>
    </row>
    <row r="71" spans="1:26" x14ac:dyDescent="0.3">
      <c r="F71" s="22"/>
      <c r="G71" s="22"/>
      <c r="H71" s="22"/>
      <c r="I71" s="22"/>
      <c r="J71" s="22"/>
      <c r="K71" s="22"/>
      <c r="L71" s="22"/>
      <c r="M71" s="22"/>
      <c r="N71" s="22"/>
      <c r="O71" s="22"/>
      <c r="P71" s="22"/>
    </row>
    <row r="72" spans="1:26" ht="28.8" x14ac:dyDescent="0.3">
      <c r="A72" s="10" t="s">
        <v>61</v>
      </c>
      <c r="B72" s="57">
        <f t="shared" ref="B72" si="112">+B65</f>
        <v>67441</v>
      </c>
      <c r="C72" s="57">
        <f t="shared" ref="C72:H72" si="113">+C65</f>
        <v>67696</v>
      </c>
      <c r="D72" s="57">
        <f t="shared" si="113"/>
        <v>68325</v>
      </c>
      <c r="E72" s="57">
        <f t="shared" si="113"/>
        <v>67734</v>
      </c>
      <c r="F72" s="57">
        <f t="shared" si="113"/>
        <v>65858</v>
      </c>
      <c r="G72" s="57">
        <f t="shared" si="113"/>
        <v>64871</v>
      </c>
      <c r="H72" s="57">
        <f t="shared" si="113"/>
        <v>63397</v>
      </c>
      <c r="I72" s="57">
        <f t="shared" ref="I72:J72" si="114">+I65</f>
        <v>62094</v>
      </c>
      <c r="J72" s="57">
        <f t="shared" si="114"/>
        <v>61011</v>
      </c>
      <c r="K72" s="57">
        <f t="shared" ref="K72:L72" si="115">+K65</f>
        <v>59942</v>
      </c>
      <c r="L72" s="57">
        <f t="shared" si="115"/>
        <v>59000</v>
      </c>
      <c r="M72" s="57">
        <f t="shared" ref="M72:R72" si="116">+M65</f>
        <v>57514</v>
      </c>
      <c r="N72" s="57">
        <f t="shared" si="116"/>
        <v>57119</v>
      </c>
      <c r="O72" s="57">
        <f t="shared" si="116"/>
        <v>55555</v>
      </c>
      <c r="P72" s="57">
        <f t="shared" si="116"/>
        <v>54542</v>
      </c>
      <c r="Q72" s="57">
        <f t="shared" si="116"/>
        <v>53393</v>
      </c>
      <c r="R72" s="57">
        <f t="shared" si="116"/>
        <v>51845</v>
      </c>
      <c r="S72" s="57">
        <v>49918</v>
      </c>
      <c r="T72" s="57">
        <v>49442</v>
      </c>
      <c r="U72" s="57">
        <v>48202</v>
      </c>
      <c r="V72" s="57">
        <f>+V65</f>
        <v>46719</v>
      </c>
      <c r="W72" s="57">
        <f t="shared" ref="W72:Z72" si="117">+W65</f>
        <v>45758</v>
      </c>
      <c r="X72" s="57">
        <f t="shared" si="117"/>
        <v>44396</v>
      </c>
      <c r="Y72" s="57">
        <f t="shared" si="117"/>
        <v>43723</v>
      </c>
      <c r="Z72" s="57">
        <f t="shared" si="117"/>
        <v>42578</v>
      </c>
    </row>
    <row r="73" spans="1:26" x14ac:dyDescent="0.3">
      <c r="A73" s="12" t="s">
        <v>65</v>
      </c>
      <c r="B73" s="55">
        <f>+B41-B37</f>
        <v>128</v>
      </c>
      <c r="C73" s="55">
        <f>+C41-C37</f>
        <v>122</v>
      </c>
      <c r="D73" s="55">
        <f>+D41-D37</f>
        <v>118</v>
      </c>
      <c r="E73" s="55">
        <f>+E41-E37</f>
        <v>112</v>
      </c>
      <c r="F73" s="55">
        <f>+F41-F37</f>
        <v>120</v>
      </c>
      <c r="G73" s="55">
        <f t="shared" ref="G73:H73" si="118">+G41-G37</f>
        <v>125</v>
      </c>
      <c r="H73" s="55">
        <f t="shared" si="118"/>
        <v>142</v>
      </c>
      <c r="I73" s="55">
        <f t="shared" ref="I73:J73" si="119">+I41-I37</f>
        <v>161</v>
      </c>
      <c r="J73" s="55">
        <f t="shared" si="119"/>
        <v>173</v>
      </c>
      <c r="K73" s="55">
        <f t="shared" ref="K73:L73" si="120">+K41-K37</f>
        <v>186</v>
      </c>
      <c r="L73" s="55">
        <f t="shared" si="120"/>
        <v>174</v>
      </c>
      <c r="M73" s="55">
        <f t="shared" ref="M73:R73" si="121">+M41-M37</f>
        <v>155</v>
      </c>
      <c r="N73" s="55">
        <f t="shared" si="121"/>
        <v>150</v>
      </c>
      <c r="O73" s="55">
        <f t="shared" si="121"/>
        <v>135</v>
      </c>
      <c r="P73" s="55">
        <f t="shared" si="121"/>
        <v>131</v>
      </c>
      <c r="Q73" s="55">
        <f t="shared" si="121"/>
        <v>126</v>
      </c>
      <c r="R73" s="55">
        <f t="shared" si="121"/>
        <v>111</v>
      </c>
      <c r="S73" s="55">
        <v>115</v>
      </c>
      <c r="T73" s="55">
        <f t="shared" ref="T73:Z73" si="122">+T41-T37</f>
        <v>115</v>
      </c>
      <c r="U73" s="55">
        <f t="shared" si="122"/>
        <v>123</v>
      </c>
      <c r="V73" s="55">
        <f t="shared" si="122"/>
        <v>153</v>
      </c>
      <c r="W73" s="55">
        <f t="shared" si="122"/>
        <v>159</v>
      </c>
      <c r="X73" s="55">
        <f t="shared" si="122"/>
        <v>188</v>
      </c>
      <c r="Y73" s="55">
        <f t="shared" si="122"/>
        <v>180</v>
      </c>
      <c r="Z73" s="55">
        <f t="shared" si="122"/>
        <v>139</v>
      </c>
    </row>
    <row r="74" spans="1:26" ht="28.8" x14ac:dyDescent="0.3">
      <c r="A74" s="10" t="s">
        <v>66</v>
      </c>
      <c r="B74" s="57">
        <f>+B72-B73</f>
        <v>67313</v>
      </c>
      <c r="C74" s="57">
        <f>+C72-C73</f>
        <v>67574</v>
      </c>
      <c r="D74" s="57">
        <f>+D72-D73</f>
        <v>68207</v>
      </c>
      <c r="E74" s="57">
        <f>+E72-E73</f>
        <v>67622</v>
      </c>
      <c r="F74" s="57">
        <f>+F72-F73</f>
        <v>65738</v>
      </c>
      <c r="G74" s="57">
        <f t="shared" ref="G74:H74" si="123">+G72-G73</f>
        <v>64746</v>
      </c>
      <c r="H74" s="57">
        <f t="shared" si="123"/>
        <v>63255</v>
      </c>
      <c r="I74" s="57">
        <f t="shared" ref="I74:J74" si="124">+I72-I73</f>
        <v>61933</v>
      </c>
      <c r="J74" s="57">
        <f t="shared" si="124"/>
        <v>60838</v>
      </c>
      <c r="K74" s="57">
        <f t="shared" ref="K74:L74" si="125">+K72-K73</f>
        <v>59756</v>
      </c>
      <c r="L74" s="57">
        <f t="shared" si="125"/>
        <v>58826</v>
      </c>
      <c r="M74" s="57">
        <f t="shared" ref="M74:R74" si="126">+M72-M73</f>
        <v>57359</v>
      </c>
      <c r="N74" s="57">
        <f t="shared" si="126"/>
        <v>56969</v>
      </c>
      <c r="O74" s="57">
        <f t="shared" si="126"/>
        <v>55420</v>
      </c>
      <c r="P74" s="57">
        <f t="shared" si="126"/>
        <v>54411</v>
      </c>
      <c r="Q74" s="57">
        <f t="shared" si="126"/>
        <v>53267</v>
      </c>
      <c r="R74" s="57">
        <f t="shared" si="126"/>
        <v>51734</v>
      </c>
      <c r="S74" s="57">
        <v>49803</v>
      </c>
      <c r="T74" s="57">
        <f t="shared" ref="T74:Z74" si="127">+T72-T73</f>
        <v>49327</v>
      </c>
      <c r="U74" s="57">
        <f t="shared" si="127"/>
        <v>48079</v>
      </c>
      <c r="V74" s="57">
        <f t="shared" si="127"/>
        <v>46566</v>
      </c>
      <c r="W74" s="57">
        <f t="shared" si="127"/>
        <v>45599</v>
      </c>
      <c r="X74" s="57">
        <f t="shared" si="127"/>
        <v>44208</v>
      </c>
      <c r="Y74" s="57">
        <f t="shared" si="127"/>
        <v>43543</v>
      </c>
      <c r="Z74" s="57">
        <f t="shared" si="127"/>
        <v>42439</v>
      </c>
    </row>
    <row r="75" spans="1:26" x14ac:dyDescent="0.3">
      <c r="A75" s="12" t="s">
        <v>67</v>
      </c>
      <c r="B75" s="55">
        <f>+B48</f>
        <v>28154</v>
      </c>
      <c r="C75" s="55">
        <f>+C48</f>
        <v>28394</v>
      </c>
      <c r="D75" s="55">
        <f>+D48</f>
        <v>27907</v>
      </c>
      <c r="E75" s="55">
        <f>+E48</f>
        <v>26906</v>
      </c>
      <c r="F75" s="55">
        <f>+F48</f>
        <v>26368</v>
      </c>
      <c r="G75" s="55">
        <f t="shared" ref="G75:H75" si="128">+G48</f>
        <v>25733</v>
      </c>
      <c r="H75" s="55">
        <f t="shared" si="128"/>
        <v>25741</v>
      </c>
      <c r="I75" s="55">
        <f t="shared" ref="I75:J75" si="129">+I48</f>
        <v>24528</v>
      </c>
      <c r="J75" s="55">
        <f t="shared" si="129"/>
        <v>24620</v>
      </c>
      <c r="K75" s="55">
        <f t="shared" ref="K75:L75" si="130">+K48</f>
        <v>25203</v>
      </c>
      <c r="L75" s="55">
        <f t="shared" si="130"/>
        <v>24607</v>
      </c>
      <c r="M75" s="55">
        <f t="shared" ref="M75:R75" si="131">+M48</f>
        <v>23863</v>
      </c>
      <c r="N75" s="55">
        <f t="shared" si="131"/>
        <v>23976</v>
      </c>
      <c r="O75" s="55">
        <f t="shared" si="131"/>
        <v>24769</v>
      </c>
      <c r="P75" s="55">
        <f t="shared" si="131"/>
        <v>24912</v>
      </c>
      <c r="Q75" s="55">
        <f t="shared" si="131"/>
        <v>23223</v>
      </c>
      <c r="R75" s="55">
        <f t="shared" si="131"/>
        <v>22287</v>
      </c>
      <c r="S75" s="55">
        <v>21233</v>
      </c>
      <c r="T75" s="55">
        <v>19140</v>
      </c>
      <c r="U75" s="55">
        <v>18122</v>
      </c>
      <c r="V75" s="55">
        <f t="shared" ref="V75:Z75" si="132">+V48</f>
        <v>17627</v>
      </c>
      <c r="W75" s="55">
        <f t="shared" si="132"/>
        <v>17334</v>
      </c>
      <c r="X75" s="55">
        <f t="shared" si="132"/>
        <v>16810</v>
      </c>
      <c r="Y75" s="55">
        <f t="shared" si="132"/>
        <v>15953</v>
      </c>
      <c r="Z75" s="55">
        <f t="shared" si="132"/>
        <v>15360</v>
      </c>
    </row>
    <row r="76" spans="1:26" ht="29.4" thickBot="1" x14ac:dyDescent="0.35">
      <c r="A76" s="15" t="s">
        <v>68</v>
      </c>
      <c r="B76" s="19">
        <f>+B75/B74</f>
        <v>0.41825501760432604</v>
      </c>
      <c r="C76" s="19">
        <f>+C75/C74</f>
        <v>0.42019119779796965</v>
      </c>
      <c r="D76" s="19">
        <f>+D75/D74</f>
        <v>0.40915155335962583</v>
      </c>
      <c r="E76" s="19">
        <f>+E75/E74</f>
        <v>0.39788826121676379</v>
      </c>
      <c r="F76" s="19">
        <f>+F75/F74</f>
        <v>0.40110742645045483</v>
      </c>
      <c r="G76" s="19">
        <f t="shared" ref="G76:H76" si="133">+G75/G74</f>
        <v>0.39744540203255802</v>
      </c>
      <c r="H76" s="19">
        <f t="shared" si="133"/>
        <v>0.40694016283297763</v>
      </c>
      <c r="I76" s="19">
        <f t="shared" ref="I76:J76" si="134">+I75/I74</f>
        <v>0.39604088288957423</v>
      </c>
      <c r="J76" s="19">
        <f t="shared" si="134"/>
        <v>0.40468128472336368</v>
      </c>
      <c r="K76" s="19">
        <f t="shared" ref="K76:L76" si="135">+K75/K74</f>
        <v>0.42176517839212796</v>
      </c>
      <c r="L76" s="19">
        <f t="shared" si="135"/>
        <v>0.41830143133988373</v>
      </c>
      <c r="M76" s="19">
        <f t="shared" ref="M76:R76" si="136">+M75/M74</f>
        <v>0.41602887079621331</v>
      </c>
      <c r="N76" s="19">
        <f t="shared" si="136"/>
        <v>0.42086046797381033</v>
      </c>
      <c r="O76" s="19">
        <f t="shared" si="136"/>
        <v>0.44693251533742329</v>
      </c>
      <c r="P76" s="19">
        <f t="shared" si="136"/>
        <v>0.45784859679109002</v>
      </c>
      <c r="Q76" s="19">
        <f t="shared" si="136"/>
        <v>0.43597349203071317</v>
      </c>
      <c r="R76" s="19">
        <f t="shared" si="136"/>
        <v>0.43079986082653576</v>
      </c>
      <c r="S76" s="19">
        <v>0.42633977872818907</v>
      </c>
      <c r="T76" s="19">
        <f t="shared" ref="T76:Z76" si="137">+T75/T74</f>
        <v>0.38802278670910456</v>
      </c>
      <c r="U76" s="19">
        <f t="shared" si="137"/>
        <v>0.37692131699910564</v>
      </c>
      <c r="V76" s="19">
        <f t="shared" si="137"/>
        <v>0.37853798909075292</v>
      </c>
      <c r="W76" s="19">
        <f t="shared" si="137"/>
        <v>0.38013991534902081</v>
      </c>
      <c r="X76" s="19">
        <f t="shared" si="137"/>
        <v>0.38024791892870069</v>
      </c>
      <c r="Y76" s="19">
        <f t="shared" si="137"/>
        <v>0.36637346990331399</v>
      </c>
      <c r="Z76" s="19">
        <f t="shared" si="137"/>
        <v>0.36193124248921982</v>
      </c>
    </row>
    <row r="77" spans="1:26" x14ac:dyDescent="0.3">
      <c r="F77" s="22"/>
      <c r="G77" s="22"/>
      <c r="H77" s="22"/>
      <c r="I77" s="22"/>
      <c r="J77" s="22"/>
      <c r="K77" s="22"/>
      <c r="L77" s="22"/>
      <c r="M77" s="22"/>
      <c r="N77" s="22"/>
      <c r="O77" s="22"/>
      <c r="P77" s="22"/>
    </row>
    <row r="78" spans="1:26" x14ac:dyDescent="0.3">
      <c r="F78" s="22"/>
      <c r="G78" s="22"/>
      <c r="H78" s="22"/>
      <c r="I78" s="22"/>
      <c r="J78" s="22"/>
      <c r="K78" s="22"/>
      <c r="L78" s="22"/>
      <c r="M78" s="22"/>
      <c r="N78" s="22"/>
      <c r="O78" s="22"/>
      <c r="P78" s="22"/>
    </row>
    <row r="79" spans="1:26" x14ac:dyDescent="0.3">
      <c r="A79" t="s">
        <v>69</v>
      </c>
      <c r="B79" s="60">
        <v>39</v>
      </c>
      <c r="C79" s="60">
        <v>18</v>
      </c>
      <c r="D79" s="60">
        <v>15</v>
      </c>
      <c r="E79" s="60">
        <v>2</v>
      </c>
      <c r="F79" s="60">
        <v>-19</v>
      </c>
      <c r="G79" s="60">
        <v>-23</v>
      </c>
      <c r="H79" s="60">
        <v>-14</v>
      </c>
      <c r="I79" s="60">
        <v>-5</v>
      </c>
      <c r="J79" s="60">
        <v>31</v>
      </c>
      <c r="K79" s="60">
        <v>36</v>
      </c>
      <c r="L79" s="60">
        <v>22</v>
      </c>
      <c r="M79" s="60">
        <v>4</v>
      </c>
      <c r="N79" s="60">
        <v>42</v>
      </c>
      <c r="O79" s="60">
        <v>24</v>
      </c>
      <c r="P79" s="60">
        <v>15</v>
      </c>
      <c r="Q79" s="60">
        <v>16</v>
      </c>
      <c r="R79" s="24">
        <v>-18</v>
      </c>
      <c r="S79" s="24">
        <v>-22</v>
      </c>
      <c r="T79" s="24">
        <v>-21</v>
      </c>
      <c r="U79" s="24">
        <v>-12</v>
      </c>
      <c r="V79" s="24">
        <v>75</v>
      </c>
      <c r="W79" s="24">
        <f>+X79+14</f>
        <v>75</v>
      </c>
      <c r="X79" s="24">
        <f>42+19</f>
        <v>61</v>
      </c>
      <c r="Y79" s="24">
        <v>42</v>
      </c>
      <c r="Z79" s="24">
        <v>37</v>
      </c>
    </row>
    <row r="80" spans="1:26" x14ac:dyDescent="0.3">
      <c r="B80" s="60"/>
      <c r="C80" s="60"/>
      <c r="D80" s="60"/>
      <c r="E80" s="60"/>
      <c r="F80" s="60"/>
      <c r="G80" s="60"/>
      <c r="H80" s="60"/>
      <c r="I80" s="60"/>
      <c r="J80" s="60"/>
      <c r="K80" s="60"/>
      <c r="L80" s="60"/>
      <c r="M80" s="60"/>
      <c r="N80" s="60"/>
      <c r="O80" s="60"/>
      <c r="P80" s="60"/>
      <c r="Q80" s="60"/>
      <c r="R80" s="24"/>
      <c r="S80" s="24"/>
      <c r="T80" s="24"/>
      <c r="U80" s="24"/>
      <c r="V80" s="24"/>
      <c r="W80" s="25"/>
      <c r="X80" s="25"/>
      <c r="Y80" s="24"/>
      <c r="Z80" s="24"/>
    </row>
    <row r="81" spans="1:27" x14ac:dyDescent="0.3">
      <c r="A81" t="s">
        <v>70</v>
      </c>
      <c r="B81" s="60">
        <f>B79/365*365</f>
        <v>39</v>
      </c>
      <c r="C81" s="60">
        <f>C79/273*365</f>
        <v>24.065934065934066</v>
      </c>
      <c r="D81" s="60">
        <f>D79/181*365</f>
        <v>30.248618784530386</v>
      </c>
      <c r="E81" s="60">
        <f>E79/90*365</f>
        <v>8.1111111111111107</v>
      </c>
      <c r="F81" s="60">
        <f>F79/366*366</f>
        <v>-19</v>
      </c>
      <c r="G81" s="60">
        <f>G79/274*366</f>
        <v>-30.722627737226276</v>
      </c>
      <c r="H81" s="60">
        <f>H79/182*366</f>
        <v>-28.153846153846157</v>
      </c>
      <c r="I81" s="60">
        <f>I79/91*366</f>
        <v>-20.109890109890109</v>
      </c>
      <c r="J81" s="60">
        <f>J79/365*365</f>
        <v>31</v>
      </c>
      <c r="K81" s="60">
        <f>K79/273*365</f>
        <v>48.131868131868131</v>
      </c>
      <c r="L81" s="60">
        <f>L79/181*365</f>
        <v>44.364640883977899</v>
      </c>
      <c r="M81" s="60">
        <f>M79/90*365</f>
        <v>16.222222222222221</v>
      </c>
      <c r="N81" s="60">
        <f>N79/365*365</f>
        <v>42</v>
      </c>
      <c r="O81" s="60">
        <f>O79/273*365</f>
        <v>32.087912087912088</v>
      </c>
      <c r="P81" s="60">
        <f>P79/181*365</f>
        <v>30.248618784530386</v>
      </c>
      <c r="Q81" s="60">
        <f>Q79/90*365</f>
        <v>64.888888888888886</v>
      </c>
      <c r="R81" s="24">
        <f>R79/4*4</f>
        <v>-18</v>
      </c>
      <c r="S81" s="24">
        <v>-29.333333333333332</v>
      </c>
      <c r="T81" s="24">
        <v>-42</v>
      </c>
      <c r="U81" s="24">
        <v>-48</v>
      </c>
      <c r="V81" s="24">
        <f>V79/4*4</f>
        <v>75</v>
      </c>
      <c r="W81" s="24">
        <f>W79/3*4</f>
        <v>100</v>
      </c>
      <c r="X81" s="24">
        <f>X79/2*4</f>
        <v>122</v>
      </c>
      <c r="Y81" s="24">
        <f>Y79*4</f>
        <v>168</v>
      </c>
      <c r="Z81" s="24">
        <f>Z79/4*4</f>
        <v>37</v>
      </c>
    </row>
    <row r="82" spans="1:27" x14ac:dyDescent="0.3">
      <c r="A82" s="12" t="s">
        <v>71</v>
      </c>
      <c r="B82" s="60">
        <f>(B59+C59+D59+E59+F59)/5</f>
        <v>43333.4</v>
      </c>
      <c r="C82" s="60">
        <f>(C59+D59+E59+F59)/4</f>
        <v>43421</v>
      </c>
      <c r="D82" s="60">
        <f>(D59+E59+F59)/3</f>
        <v>43471</v>
      </c>
      <c r="E82" s="60">
        <f>(E59+F59)/2</f>
        <v>43021.5</v>
      </c>
      <c r="F82" s="60">
        <f>(F59+G59+H59+I59+J59)/5</f>
        <v>40617.199999999997</v>
      </c>
      <c r="G82" s="60">
        <f>(G59+H59+I59+J59)/4</f>
        <v>40228.25</v>
      </c>
      <c r="H82" s="60">
        <f>(H59+I59+J59)/3</f>
        <v>39608.666666666664</v>
      </c>
      <c r="I82" s="60">
        <f>(I59+J59)/2</f>
        <v>39151</v>
      </c>
      <c r="J82" s="60">
        <f>(J59+K59+L59+M59+N59)/5</f>
        <v>37357</v>
      </c>
      <c r="K82" s="60">
        <f>(K59+L59+M59+N59)/4</f>
        <v>36988.5</v>
      </c>
      <c r="L82" s="60">
        <f>(L59+M59+N59)/3</f>
        <v>36618.333333333336</v>
      </c>
      <c r="M82" s="60">
        <f>(M59+N59)/2</f>
        <v>36288.5</v>
      </c>
      <c r="N82" s="60">
        <f>(N59+O59+P59+Q59+R59)/5</f>
        <v>34651.599999999999</v>
      </c>
      <c r="O82" s="60">
        <f>(O59+P59+Q59+R59)/4</f>
        <v>34235.5</v>
      </c>
      <c r="P82" s="60">
        <f>(P59+Q59+R59)/3</f>
        <v>33816.666666666664</v>
      </c>
      <c r="Q82" s="60">
        <f>AVERAGE(Q59:R59)</f>
        <v>33243</v>
      </c>
      <c r="R82" s="56">
        <f>AVERAGE(R59:V59)</f>
        <v>30465.8</v>
      </c>
      <c r="S82" s="56">
        <v>29936.5</v>
      </c>
      <c r="T82" s="56">
        <v>29513</v>
      </c>
      <c r="U82" s="54">
        <v>28848</v>
      </c>
      <c r="V82" s="54">
        <f>(V59+X59+W59+Y59+Z59)/5</f>
        <v>26707.8</v>
      </c>
      <c r="W82" s="54">
        <f>(W59+Y59+X59+Z59)/4</f>
        <v>26329.25</v>
      </c>
      <c r="X82" s="54">
        <f>(X59+Z59+Y59)/3</f>
        <v>25932.666666666668</v>
      </c>
      <c r="Y82" s="54">
        <f>(Y59+Z59)/2</f>
        <v>25696</v>
      </c>
      <c r="Z82" s="54">
        <v>23798</v>
      </c>
    </row>
    <row r="83" spans="1:27" ht="15" thickBot="1" x14ac:dyDescent="0.35">
      <c r="A83" s="30" t="s">
        <v>72</v>
      </c>
      <c r="B83" s="21">
        <f>B81/B82</f>
        <v>8.9999861538674552E-4</v>
      </c>
      <c r="C83" s="21">
        <f>C81/C82</f>
        <v>5.5424642605960404E-4</v>
      </c>
      <c r="D83" s="21">
        <f>D81/D82</f>
        <v>6.9583443639507686E-4</v>
      </c>
      <c r="E83" s="21">
        <f>E81/E82</f>
        <v>1.8853622284465001E-4</v>
      </c>
      <c r="F83" s="21">
        <f>F81/F82</f>
        <v>-4.6778212185970481E-4</v>
      </c>
      <c r="G83" s="21">
        <f t="shared" ref="G83" si="138">G81/G82</f>
        <v>-7.6370778587749348E-4</v>
      </c>
      <c r="H83" s="21">
        <f t="shared" ref="H83:I83" si="139">H81/H82</f>
        <v>-7.1080014863361956E-4</v>
      </c>
      <c r="I83" s="21">
        <f t="shared" si="139"/>
        <v>-5.1364946259074124E-4</v>
      </c>
      <c r="J83" s="21">
        <f t="shared" ref="J83:K83" si="140">J81/J82</f>
        <v>8.2983108922022643E-4</v>
      </c>
      <c r="K83" s="21">
        <f t="shared" si="140"/>
        <v>1.3012657483236177E-3</v>
      </c>
      <c r="L83" s="21">
        <f t="shared" ref="L83:Q83" si="141">L81/L82</f>
        <v>1.211541783732499E-3</v>
      </c>
      <c r="M83" s="21">
        <f t="shared" si="141"/>
        <v>4.4703479675991625E-4</v>
      </c>
      <c r="N83" s="21">
        <f t="shared" si="141"/>
        <v>1.2120652437405488E-3</v>
      </c>
      <c r="O83" s="21">
        <f t="shared" si="141"/>
        <v>9.3727014613229217E-4</v>
      </c>
      <c r="P83" s="21">
        <f t="shared" si="141"/>
        <v>8.944884805676803E-4</v>
      </c>
      <c r="Q83" s="21">
        <f t="shared" si="141"/>
        <v>1.9519564686968349E-3</v>
      </c>
      <c r="R83" s="21">
        <f t="shared" ref="R83" si="142">R81/R82</f>
        <v>-5.9082643488764448E-4</v>
      </c>
      <c r="S83" s="21">
        <v>-9.798517974156408E-4</v>
      </c>
      <c r="T83" s="21">
        <v>-1.4231016840036595E-3</v>
      </c>
      <c r="U83" s="21">
        <v>-1.6638935108153079E-3</v>
      </c>
      <c r="V83" s="21">
        <f>V81/V82</f>
        <v>2.8081684002426257E-3</v>
      </c>
      <c r="W83" s="21">
        <f t="shared" ref="W83:Y83" si="143">W81/W82</f>
        <v>3.7980572936942756E-3</v>
      </c>
      <c r="X83" s="21">
        <f t="shared" si="143"/>
        <v>4.7044911180235995E-3</v>
      </c>
      <c r="Y83" s="21">
        <f t="shared" si="143"/>
        <v>6.5379825653798258E-3</v>
      </c>
      <c r="Z83" s="21">
        <f>Z81/Z82</f>
        <v>1.5547525002101016E-3</v>
      </c>
    </row>
    <row r="84" spans="1:27" x14ac:dyDescent="0.3">
      <c r="A84" s="22"/>
      <c r="F84" s="22"/>
      <c r="G84" s="22"/>
      <c r="H84" s="22"/>
      <c r="I84" s="22"/>
      <c r="J84" s="22"/>
      <c r="K84" s="22"/>
      <c r="L84" s="22"/>
      <c r="M84" s="22"/>
      <c r="N84" s="22"/>
      <c r="O84" s="22"/>
      <c r="P84" s="22"/>
    </row>
    <row r="85" spans="1:27" x14ac:dyDescent="0.3">
      <c r="A85" s="22"/>
      <c r="F85" s="22"/>
      <c r="G85" s="22"/>
      <c r="H85" s="22"/>
      <c r="I85" s="22"/>
      <c r="J85" s="22"/>
      <c r="K85" s="22"/>
      <c r="L85" s="22"/>
      <c r="M85" s="22"/>
      <c r="N85" s="22"/>
      <c r="O85" s="22"/>
      <c r="P85" s="22"/>
    </row>
    <row r="86" spans="1:27" x14ac:dyDescent="0.3">
      <c r="A86" s="22" t="s">
        <v>95</v>
      </c>
      <c r="B86" s="60">
        <v>784</v>
      </c>
      <c r="C86" s="60">
        <v>657</v>
      </c>
      <c r="D86" s="60">
        <v>639</v>
      </c>
      <c r="E86" s="60">
        <v>718</v>
      </c>
      <c r="F86" s="60">
        <v>698</v>
      </c>
      <c r="G86" s="60">
        <v>720</v>
      </c>
      <c r="H86" s="60">
        <v>748</v>
      </c>
      <c r="I86" s="60">
        <v>563</v>
      </c>
      <c r="J86" s="60">
        <v>612</v>
      </c>
      <c r="K86" s="60">
        <v>197</v>
      </c>
      <c r="L86" s="60">
        <v>205</v>
      </c>
      <c r="M86" s="60">
        <v>213</v>
      </c>
      <c r="N86" s="60">
        <v>175</v>
      </c>
      <c r="O86" s="60">
        <v>177</v>
      </c>
      <c r="P86" s="60">
        <v>139</v>
      </c>
      <c r="Q86" s="60">
        <v>134</v>
      </c>
      <c r="R86" s="24">
        <v>149</v>
      </c>
      <c r="S86" s="24">
        <v>125</v>
      </c>
      <c r="T86" s="24">
        <v>142</v>
      </c>
      <c r="U86" s="24">
        <v>159</v>
      </c>
      <c r="V86" s="24">
        <v>234</v>
      </c>
      <c r="W86" s="24">
        <v>220</v>
      </c>
      <c r="X86" s="24">
        <v>234</v>
      </c>
      <c r="Y86" s="24">
        <v>223</v>
      </c>
      <c r="Z86" s="24">
        <v>243</v>
      </c>
    </row>
    <row r="87" spans="1:27" s="22" customFormat="1" x14ac:dyDescent="0.3">
      <c r="A87" s="32" t="s">
        <v>73</v>
      </c>
      <c r="B87" s="11">
        <f>+B41</f>
        <v>42983</v>
      </c>
      <c r="C87" s="11">
        <f>+C41</f>
        <v>43271</v>
      </c>
      <c r="D87" s="11">
        <f>+D41</f>
        <v>44370</v>
      </c>
      <c r="E87" s="11">
        <f>+E41</f>
        <v>43870</v>
      </c>
      <c r="F87" s="11">
        <f>+F41</f>
        <v>42173</v>
      </c>
      <c r="G87" s="11">
        <f t="shared" ref="G87:H87" si="144">+G41</f>
        <v>42087</v>
      </c>
      <c r="H87" s="11">
        <f t="shared" si="144"/>
        <v>40524</v>
      </c>
      <c r="I87" s="11">
        <f t="shared" ref="I87:J87" si="145">+I41</f>
        <v>39471</v>
      </c>
      <c r="J87" s="11">
        <f t="shared" si="145"/>
        <v>38831</v>
      </c>
      <c r="K87" s="11">
        <f t="shared" ref="K87:L87" si="146">+K41</f>
        <v>38099</v>
      </c>
      <c r="L87" s="11">
        <f t="shared" si="146"/>
        <v>37278</v>
      </c>
      <c r="M87" s="11">
        <f t="shared" ref="M87:R87" si="147">+M41</f>
        <v>36261</v>
      </c>
      <c r="N87" s="11">
        <f t="shared" si="147"/>
        <v>36316</v>
      </c>
      <c r="O87" s="11">
        <f t="shared" si="147"/>
        <v>35492</v>
      </c>
      <c r="P87" s="11">
        <f t="shared" si="147"/>
        <v>34964</v>
      </c>
      <c r="Q87" s="11">
        <f t="shared" si="147"/>
        <v>33903</v>
      </c>
      <c r="R87" s="54">
        <f t="shared" si="147"/>
        <v>32583</v>
      </c>
      <c r="S87" s="54">
        <v>31207</v>
      </c>
      <c r="T87" s="54">
        <v>30843</v>
      </c>
      <c r="U87" s="54">
        <v>29474</v>
      </c>
      <c r="V87" s="54">
        <f>+V41</f>
        <v>28222</v>
      </c>
      <c r="W87" s="54">
        <f>+W41</f>
        <v>27519</v>
      </c>
      <c r="X87" s="54">
        <f>+X41</f>
        <v>26406</v>
      </c>
      <c r="Y87" s="54">
        <f>+Y41</f>
        <v>25792</v>
      </c>
      <c r="Z87" s="54">
        <f>+Z41</f>
        <v>25642</v>
      </c>
    </row>
    <row r="88" spans="1:27" s="22" customFormat="1" ht="15" thickBot="1" x14ac:dyDescent="0.35">
      <c r="A88" s="68" t="s">
        <v>74</v>
      </c>
      <c r="B88" s="20">
        <f>B86/B87</f>
        <v>1.8239769211083452E-2</v>
      </c>
      <c r="C88" s="20">
        <f>C86/C87</f>
        <v>1.5183379168496221E-2</v>
      </c>
      <c r="D88" s="20">
        <f>D86/D87</f>
        <v>1.4401622718052738E-2</v>
      </c>
      <c r="E88" s="20">
        <f>E86/E87</f>
        <v>1.6366537497150672E-2</v>
      </c>
      <c r="F88" s="20">
        <f>F86/F87</f>
        <v>1.6550873781803522E-2</v>
      </c>
      <c r="G88" s="20">
        <f t="shared" ref="G88" si="148">G86/G87</f>
        <v>1.7107420343574025E-2</v>
      </c>
      <c r="H88" s="20">
        <f t="shared" ref="H88:I88" si="149">H86/H87</f>
        <v>1.8458197611292075E-2</v>
      </c>
      <c r="I88" s="20">
        <f t="shared" si="149"/>
        <v>1.4263636593955055E-2</v>
      </c>
      <c r="J88" s="20">
        <f t="shared" ref="J88:K88" si="150">J86/J87</f>
        <v>1.5760603641420515E-2</v>
      </c>
      <c r="K88" s="20">
        <f t="shared" si="150"/>
        <v>5.1707393894852884E-3</v>
      </c>
      <c r="L88" s="20">
        <f t="shared" ref="L88:Q88" si="151">L86/L87</f>
        <v>5.4992220612693817E-3</v>
      </c>
      <c r="M88" s="20">
        <f t="shared" si="151"/>
        <v>5.8740795896417642E-3</v>
      </c>
      <c r="N88" s="20">
        <f t="shared" si="151"/>
        <v>4.8188126445643797E-3</v>
      </c>
      <c r="O88" s="20">
        <f t="shared" si="151"/>
        <v>4.9870393328073932E-3</v>
      </c>
      <c r="P88" s="20">
        <f t="shared" si="151"/>
        <v>3.9755176753231893E-3</v>
      </c>
      <c r="Q88" s="20">
        <f t="shared" si="151"/>
        <v>3.9524525853169333E-3</v>
      </c>
      <c r="R88" s="20">
        <f t="shared" ref="R88:Z88" si="152">R86/R87</f>
        <v>4.5729368075376727E-3</v>
      </c>
      <c r="S88" s="20">
        <v>4.0055115839395007E-3</v>
      </c>
      <c r="T88" s="20">
        <v>4.6039620011023574E-3</v>
      </c>
      <c r="U88" s="20">
        <f t="shared" si="152"/>
        <v>5.3945850580172355E-3</v>
      </c>
      <c r="V88" s="20">
        <f t="shared" si="152"/>
        <v>8.2914038693218065E-3</v>
      </c>
      <c r="W88" s="20">
        <f t="shared" si="152"/>
        <v>7.9944765434790503E-3</v>
      </c>
      <c r="X88" s="20">
        <f t="shared" si="152"/>
        <v>8.8616223585548746E-3</v>
      </c>
      <c r="Y88" s="20">
        <f t="shared" si="152"/>
        <v>8.6460918114143921E-3</v>
      </c>
      <c r="Z88" s="20">
        <f t="shared" si="152"/>
        <v>9.4766398876842683E-3</v>
      </c>
    </row>
    <row r="89" spans="1:27" s="22" customFormat="1" x14ac:dyDescent="0.3"/>
    <row r="90" spans="1:27" s="22" customFormat="1" x14ac:dyDescent="0.3"/>
    <row r="91" spans="1:27" s="22" customFormat="1" x14ac:dyDescent="0.3">
      <c r="A91" s="22" t="s">
        <v>69</v>
      </c>
      <c r="B91" s="60">
        <f t="shared" ref="B91:C91" si="153">+B79</f>
        <v>39</v>
      </c>
      <c r="C91" s="60">
        <f t="shared" si="153"/>
        <v>18</v>
      </c>
      <c r="D91" s="60">
        <f t="shared" ref="D91:E91" si="154">+D79</f>
        <v>15</v>
      </c>
      <c r="E91" s="60">
        <f t="shared" si="154"/>
        <v>2</v>
      </c>
      <c r="F91" s="60">
        <f t="shared" ref="F91:K91" si="155">+F79</f>
        <v>-19</v>
      </c>
      <c r="G91" s="60">
        <f t="shared" si="155"/>
        <v>-23</v>
      </c>
      <c r="H91" s="60">
        <f t="shared" si="155"/>
        <v>-14</v>
      </c>
      <c r="I91" s="60">
        <f t="shared" si="155"/>
        <v>-5</v>
      </c>
      <c r="J91" s="60">
        <f t="shared" si="155"/>
        <v>31</v>
      </c>
      <c r="K91" s="60">
        <f t="shared" si="155"/>
        <v>36</v>
      </c>
      <c r="L91" s="60">
        <f t="shared" ref="L91" si="156">+L79</f>
        <v>22</v>
      </c>
      <c r="M91" s="60">
        <f t="shared" ref="M91:R91" si="157">+M79</f>
        <v>4</v>
      </c>
      <c r="N91" s="60">
        <f t="shared" si="157"/>
        <v>42</v>
      </c>
      <c r="O91" s="60">
        <f t="shared" si="157"/>
        <v>24</v>
      </c>
      <c r="P91" s="60">
        <f t="shared" si="157"/>
        <v>15</v>
      </c>
      <c r="Q91" s="60">
        <f t="shared" si="157"/>
        <v>16</v>
      </c>
      <c r="R91" s="24">
        <f t="shared" si="157"/>
        <v>-18</v>
      </c>
      <c r="S91" s="24">
        <v>-22</v>
      </c>
      <c r="T91" s="24">
        <v>-21</v>
      </c>
      <c r="U91" s="24">
        <v>-12</v>
      </c>
      <c r="V91" s="24">
        <f>+V79</f>
        <v>75</v>
      </c>
      <c r="W91" s="24">
        <f>+W79</f>
        <v>75</v>
      </c>
      <c r="X91" s="24">
        <f>+X79</f>
        <v>61</v>
      </c>
      <c r="Y91" s="24">
        <f>+Y79</f>
        <v>42</v>
      </c>
      <c r="Z91" s="24">
        <f>+Z79</f>
        <v>37</v>
      </c>
    </row>
    <row r="92" spans="1:27" s="22" customFormat="1" x14ac:dyDescent="0.3">
      <c r="B92" s="60"/>
      <c r="C92" s="60"/>
      <c r="D92" s="60"/>
      <c r="E92" s="60"/>
      <c r="F92" s="60"/>
      <c r="G92" s="60"/>
      <c r="H92" s="60"/>
      <c r="I92" s="60"/>
      <c r="J92" s="60"/>
      <c r="K92" s="60"/>
      <c r="L92" s="60"/>
      <c r="M92" s="60"/>
      <c r="N92" s="60"/>
      <c r="O92" s="60"/>
      <c r="P92" s="60"/>
      <c r="Q92" s="60"/>
      <c r="R92" s="24"/>
      <c r="S92" s="24"/>
      <c r="T92" s="24"/>
      <c r="U92" s="24"/>
      <c r="V92" s="24"/>
      <c r="W92" s="24"/>
      <c r="X92" s="24"/>
      <c r="Y92" s="24"/>
      <c r="Z92" s="24"/>
    </row>
    <row r="93" spans="1:27" s="22" customFormat="1" x14ac:dyDescent="0.3">
      <c r="A93" s="22" t="s">
        <v>70</v>
      </c>
      <c r="B93" s="60">
        <f>B91/365*365</f>
        <v>39</v>
      </c>
      <c r="C93" s="60">
        <f>C91/273*365</f>
        <v>24.065934065934066</v>
      </c>
      <c r="D93" s="60">
        <f>D91/181*365</f>
        <v>30.248618784530386</v>
      </c>
      <c r="E93" s="60">
        <f>E91/90*365</f>
        <v>8.1111111111111107</v>
      </c>
      <c r="F93" s="60">
        <f>F91/366*366</f>
        <v>-19</v>
      </c>
      <c r="G93" s="60">
        <f>G91/274*366</f>
        <v>-30.722627737226276</v>
      </c>
      <c r="H93" s="60">
        <f>H91/182*366</f>
        <v>-28.153846153846157</v>
      </c>
      <c r="I93" s="60">
        <f>I91/91*366</f>
        <v>-20.109890109890109</v>
      </c>
      <c r="J93" s="60">
        <f>J91/365*365</f>
        <v>31</v>
      </c>
      <c r="K93" s="60">
        <f>K91/273*365</f>
        <v>48.131868131868131</v>
      </c>
      <c r="L93" s="60">
        <f>L91/181*365</f>
        <v>44.364640883977899</v>
      </c>
      <c r="M93" s="60">
        <f>M91/90*365</f>
        <v>16.222222222222221</v>
      </c>
      <c r="N93" s="60">
        <f>N91/365*365</f>
        <v>42</v>
      </c>
      <c r="O93" s="60">
        <f>O91/273*365</f>
        <v>32.087912087912088</v>
      </c>
      <c r="P93" s="60">
        <f>P91/181*365</f>
        <v>30.248618784530386</v>
      </c>
      <c r="Q93" s="60">
        <f>Q91/90*365</f>
        <v>64.888888888888886</v>
      </c>
      <c r="R93" s="24">
        <f>R91/4*4</f>
        <v>-18</v>
      </c>
      <c r="S93" s="24">
        <v>-29.333333333333332</v>
      </c>
      <c r="T93" s="24">
        <v>-42</v>
      </c>
      <c r="U93" s="24">
        <v>-48</v>
      </c>
      <c r="V93" s="24">
        <f>V91/4*4</f>
        <v>75</v>
      </c>
      <c r="W93" s="24">
        <f>W91/3*4</f>
        <v>100</v>
      </c>
      <c r="X93" s="24">
        <f>X91/2*4</f>
        <v>122</v>
      </c>
      <c r="Y93" s="24">
        <f>Y91*4</f>
        <v>168</v>
      </c>
      <c r="Z93" s="24">
        <f>Z91/4*4</f>
        <v>37</v>
      </c>
    </row>
    <row r="94" spans="1:27" s="22" customFormat="1" x14ac:dyDescent="0.3">
      <c r="A94" s="69" t="s">
        <v>75</v>
      </c>
      <c r="B94" s="60">
        <f>(B72+C72+D72+E72+F72)/5</f>
        <v>67410.8</v>
      </c>
      <c r="C94" s="60">
        <f>(C72+D72+E72+F72)/4</f>
        <v>67403.25</v>
      </c>
      <c r="D94" s="60">
        <f>(D72+E72+F72)/3</f>
        <v>67305.666666666672</v>
      </c>
      <c r="E94" s="60">
        <f>(E72+F72)/2</f>
        <v>66796</v>
      </c>
      <c r="F94" s="60">
        <f>(F72+G72+H72+I72+J72)/5</f>
        <v>63446.2</v>
      </c>
      <c r="G94" s="60">
        <f>(G72+H72+I72+J72)/4</f>
        <v>62843.25</v>
      </c>
      <c r="H94" s="60">
        <f>(H72+I72+J72)/3</f>
        <v>62167.333333333336</v>
      </c>
      <c r="I94" s="60">
        <f>(I72+J72)/2</f>
        <v>61552.5</v>
      </c>
      <c r="J94" s="60">
        <f>(J72+K72+L72+M72+N72)/5</f>
        <v>58917.2</v>
      </c>
      <c r="K94" s="60">
        <f>(K72+L72+M72+N72)/4</f>
        <v>58393.75</v>
      </c>
      <c r="L94" s="60">
        <f>(L72+M72+N72)/3</f>
        <v>57877.666666666664</v>
      </c>
      <c r="M94" s="60">
        <f>(M72+N72)/2</f>
        <v>57316.5</v>
      </c>
      <c r="N94" s="60">
        <f>(N72+O72+P72+Q72+R72)/5</f>
        <v>54490.8</v>
      </c>
      <c r="O94" s="60">
        <f>(O72+P72+Q72+R72)/4</f>
        <v>53833.75</v>
      </c>
      <c r="P94" s="60">
        <f>(P72+Q72+R72)/3</f>
        <v>53260</v>
      </c>
      <c r="Q94" s="60">
        <f>AVERAGE(Q72:R72)</f>
        <v>52619</v>
      </c>
      <c r="R94" s="56">
        <f>AVERAGE(R72:V72)</f>
        <v>49225.2</v>
      </c>
      <c r="S94" s="56">
        <v>48570.25</v>
      </c>
      <c r="T94" s="56">
        <v>48121</v>
      </c>
      <c r="U94" s="54">
        <v>47460.5</v>
      </c>
      <c r="V94" s="54">
        <f>(V65+X65+W65+Y65+Z65)/5</f>
        <v>44634.8</v>
      </c>
      <c r="W94" s="54">
        <f>(W65+Y65+X65+Z65)/4</f>
        <v>44113.75</v>
      </c>
      <c r="X94" s="54">
        <f>(X65+Z65+Y65)/3</f>
        <v>43565.666666666664</v>
      </c>
      <c r="Y94" s="54">
        <f>(Y65+Z65)/2</f>
        <v>43150.5</v>
      </c>
      <c r="Z94" s="54">
        <v>40432</v>
      </c>
    </row>
    <row r="95" spans="1:27" s="41" customFormat="1" ht="15" thickBot="1" x14ac:dyDescent="0.35">
      <c r="A95" s="70" t="s">
        <v>76</v>
      </c>
      <c r="B95" s="21">
        <f>B93/B94</f>
        <v>5.7854231072765783E-4</v>
      </c>
      <c r="C95" s="21">
        <f>C93/C94</f>
        <v>3.5704411977069455E-4</v>
      </c>
      <c r="D95" s="21">
        <f>D93/D94</f>
        <v>4.4942157596235656E-4</v>
      </c>
      <c r="E95" s="21">
        <f>E93/E94</f>
        <v>1.2143109035138498E-4</v>
      </c>
      <c r="F95" s="21">
        <f>F93/F94</f>
        <v>-2.9946631949588788E-4</v>
      </c>
      <c r="G95" s="21">
        <f t="shared" ref="G95" si="158">G93/G94</f>
        <v>-4.8887713059439595E-4</v>
      </c>
      <c r="H95" s="21">
        <f t="shared" ref="H95:I95" si="159">H93/H94</f>
        <v>-4.5287202529484114E-4</v>
      </c>
      <c r="I95" s="21">
        <f t="shared" si="159"/>
        <v>-3.2671118329702462E-4</v>
      </c>
      <c r="J95" s="21">
        <f t="shared" ref="J95:K95" si="160">J93/J94</f>
        <v>5.2616213940920482E-4</v>
      </c>
      <c r="K95" s="21">
        <f t="shared" si="160"/>
        <v>8.2426403736475442E-4</v>
      </c>
      <c r="L95" s="21">
        <f t="shared" ref="L95:Q95" si="161">L93/L94</f>
        <v>7.665243510849533E-4</v>
      </c>
      <c r="M95" s="21">
        <f t="shared" si="161"/>
        <v>2.8302883501648256E-4</v>
      </c>
      <c r="N95" s="21">
        <f t="shared" si="161"/>
        <v>7.7077231385848616E-4</v>
      </c>
      <c r="O95" s="21">
        <f t="shared" si="161"/>
        <v>5.9605567302876148E-4</v>
      </c>
      <c r="P95" s="21">
        <f t="shared" si="161"/>
        <v>5.6794252317931627E-4</v>
      </c>
      <c r="Q95" s="21">
        <f t="shared" si="161"/>
        <v>1.2331836197740148E-3</v>
      </c>
      <c r="R95" s="21">
        <f t="shared" ref="R95:U95" si="162">R93/R94</f>
        <v>-3.6566636600765464E-4</v>
      </c>
      <c r="S95" s="21">
        <v>-6.0393622296227279E-4</v>
      </c>
      <c r="T95" s="21">
        <v>-8.7279981712765737E-4</v>
      </c>
      <c r="U95" s="21">
        <f t="shared" si="162"/>
        <v>-1.0113673475837801E-3</v>
      </c>
      <c r="V95" s="21">
        <f t="shared" ref="V95" si="163">V93/V94</f>
        <v>1.6803032611325691E-3</v>
      </c>
      <c r="W95" s="21">
        <f t="shared" ref="W95" si="164">W93/W94</f>
        <v>2.2668669065767475E-3</v>
      </c>
      <c r="X95" s="21">
        <f t="shared" ref="X95:Z95" si="165">X93/X94</f>
        <v>2.800370322195613E-3</v>
      </c>
      <c r="Y95" s="21">
        <f t="shared" si="165"/>
        <v>3.8933500191191297E-3</v>
      </c>
      <c r="Z95" s="21">
        <f t="shared" si="165"/>
        <v>9.1511673921646224E-4</v>
      </c>
      <c r="AA95" s="22"/>
    </row>
    <row r="96" spans="1:27" s="22" customFormat="1" x14ac:dyDescent="0.3"/>
    <row r="97" spans="1:27" s="22" customFormat="1" x14ac:dyDescent="0.3"/>
    <row r="98" spans="1:27" s="22" customFormat="1" x14ac:dyDescent="0.3">
      <c r="A98" s="22" t="s">
        <v>95</v>
      </c>
      <c r="B98" s="60">
        <f>B86</f>
        <v>784</v>
      </c>
      <c r="C98" s="60">
        <f>C86</f>
        <v>657</v>
      </c>
      <c r="D98" s="60">
        <f>D86</f>
        <v>639</v>
      </c>
      <c r="E98" s="60">
        <f>E86</f>
        <v>718</v>
      </c>
      <c r="F98" s="60">
        <f>F86</f>
        <v>698</v>
      </c>
      <c r="G98" s="60">
        <f t="shared" ref="G98:H98" si="166">G86</f>
        <v>720</v>
      </c>
      <c r="H98" s="60">
        <f t="shared" si="166"/>
        <v>748</v>
      </c>
      <c r="I98" s="60">
        <f t="shared" ref="I98:N98" si="167">I86</f>
        <v>563</v>
      </c>
      <c r="J98" s="60">
        <f t="shared" si="167"/>
        <v>612</v>
      </c>
      <c r="K98" s="60">
        <f t="shared" si="167"/>
        <v>197</v>
      </c>
      <c r="L98" s="60">
        <f t="shared" si="167"/>
        <v>205</v>
      </c>
      <c r="M98" s="60">
        <f t="shared" si="167"/>
        <v>213</v>
      </c>
      <c r="N98" s="60">
        <f t="shared" si="167"/>
        <v>175</v>
      </c>
      <c r="O98" s="60">
        <f t="shared" ref="O98:Z98" si="168">O86</f>
        <v>177</v>
      </c>
      <c r="P98" s="60">
        <f t="shared" si="168"/>
        <v>139</v>
      </c>
      <c r="Q98" s="60">
        <f t="shared" si="168"/>
        <v>134</v>
      </c>
      <c r="R98" s="60">
        <f t="shared" si="168"/>
        <v>149</v>
      </c>
      <c r="S98" s="60">
        <f t="shared" si="168"/>
        <v>125</v>
      </c>
      <c r="T98" s="60">
        <f t="shared" si="168"/>
        <v>142</v>
      </c>
      <c r="U98" s="60">
        <f t="shared" si="168"/>
        <v>159</v>
      </c>
      <c r="V98" s="60">
        <f t="shared" si="168"/>
        <v>234</v>
      </c>
      <c r="W98" s="60">
        <f t="shared" si="168"/>
        <v>220</v>
      </c>
      <c r="X98" s="60">
        <f t="shared" si="168"/>
        <v>234</v>
      </c>
      <c r="Y98" s="60">
        <f t="shared" si="168"/>
        <v>223</v>
      </c>
      <c r="Z98" s="60">
        <f t="shared" si="168"/>
        <v>243</v>
      </c>
    </row>
    <row r="99" spans="1:27" s="22" customFormat="1" x14ac:dyDescent="0.3">
      <c r="A99" s="32" t="s">
        <v>77</v>
      </c>
      <c r="B99" s="11">
        <f t="shared" ref="B99" si="169">+B65</f>
        <v>67441</v>
      </c>
      <c r="C99" s="11">
        <f t="shared" ref="C99:H99" si="170">+C65</f>
        <v>67696</v>
      </c>
      <c r="D99" s="11">
        <f t="shared" si="170"/>
        <v>68325</v>
      </c>
      <c r="E99" s="11">
        <f t="shared" si="170"/>
        <v>67734</v>
      </c>
      <c r="F99" s="11">
        <f t="shared" si="170"/>
        <v>65858</v>
      </c>
      <c r="G99" s="11">
        <f t="shared" si="170"/>
        <v>64871</v>
      </c>
      <c r="H99" s="11">
        <f t="shared" si="170"/>
        <v>63397</v>
      </c>
      <c r="I99" s="11">
        <f t="shared" ref="I99:J99" si="171">+I65</f>
        <v>62094</v>
      </c>
      <c r="J99" s="11">
        <f t="shared" si="171"/>
        <v>61011</v>
      </c>
      <c r="K99" s="11">
        <f t="shared" ref="K99:L99" si="172">+K65</f>
        <v>59942</v>
      </c>
      <c r="L99" s="11">
        <f t="shared" si="172"/>
        <v>59000</v>
      </c>
      <c r="M99" s="11">
        <f t="shared" ref="M99:R99" si="173">+M65</f>
        <v>57514</v>
      </c>
      <c r="N99" s="11">
        <f t="shared" si="173"/>
        <v>57119</v>
      </c>
      <c r="O99" s="11">
        <f t="shared" si="173"/>
        <v>55555</v>
      </c>
      <c r="P99" s="11">
        <f t="shared" si="173"/>
        <v>54542</v>
      </c>
      <c r="Q99" s="11">
        <f t="shared" si="173"/>
        <v>53393</v>
      </c>
      <c r="R99" s="54">
        <f t="shared" si="173"/>
        <v>51845</v>
      </c>
      <c r="S99" s="54">
        <v>49918</v>
      </c>
      <c r="T99" s="54">
        <v>49442</v>
      </c>
      <c r="U99" s="54">
        <v>48202</v>
      </c>
      <c r="V99" s="54">
        <f>+V65</f>
        <v>46719</v>
      </c>
      <c r="W99" s="54">
        <f>+W65</f>
        <v>45758</v>
      </c>
      <c r="X99" s="54">
        <f>+X65</f>
        <v>44396</v>
      </c>
      <c r="Y99" s="54">
        <f>+Y65</f>
        <v>43723</v>
      </c>
      <c r="Z99" s="54">
        <f>+Z65</f>
        <v>42578</v>
      </c>
    </row>
    <row r="100" spans="1:27" s="22" customFormat="1" ht="29.4" thickBot="1" x14ac:dyDescent="0.35">
      <c r="A100" s="68" t="s">
        <v>78</v>
      </c>
      <c r="B100" s="20">
        <f t="shared" ref="B100" si="174">B98/B99</f>
        <v>1.1624975904864993E-2</v>
      </c>
      <c r="C100" s="20">
        <f t="shared" ref="C100:H100" si="175">C98/C99</f>
        <v>9.7051524462302054E-3</v>
      </c>
      <c r="D100" s="20">
        <f t="shared" si="175"/>
        <v>9.3523600439077929E-3</v>
      </c>
      <c r="E100" s="20">
        <f t="shared" si="175"/>
        <v>1.0600289367230637E-2</v>
      </c>
      <c r="F100" s="20">
        <f t="shared" si="175"/>
        <v>1.0598560539342222E-2</v>
      </c>
      <c r="G100" s="20">
        <f t="shared" si="175"/>
        <v>1.1098950224291285E-2</v>
      </c>
      <c r="H100" s="20">
        <f t="shared" si="175"/>
        <v>1.1798665551997729E-2</v>
      </c>
      <c r="I100" s="20">
        <f t="shared" ref="I100" si="176">I98/I99</f>
        <v>9.0668985731310586E-3</v>
      </c>
      <c r="J100" s="20">
        <f t="shared" ref="J100:K100" si="177">J98/J99</f>
        <v>1.0030978020356985E-2</v>
      </c>
      <c r="K100" s="20">
        <f t="shared" si="177"/>
        <v>3.2865102932835076E-3</v>
      </c>
      <c r="L100" s="20">
        <f t="shared" ref="L100:Q100" si="178">L98/L99</f>
        <v>3.4745762711864405E-3</v>
      </c>
      <c r="M100" s="20">
        <f t="shared" si="178"/>
        <v>3.7034461174670517E-3</v>
      </c>
      <c r="N100" s="20">
        <f t="shared" si="178"/>
        <v>3.0637791277858505E-3</v>
      </c>
      <c r="O100" s="20">
        <f t="shared" si="178"/>
        <v>3.186031860318603E-3</v>
      </c>
      <c r="P100" s="20">
        <f t="shared" si="178"/>
        <v>2.5484947380000735E-3</v>
      </c>
      <c r="Q100" s="20">
        <f t="shared" si="178"/>
        <v>2.5096922817597813E-3</v>
      </c>
      <c r="R100" s="20">
        <f t="shared" ref="R100:U100" si="179">R98/R99</f>
        <v>2.8739512006943774E-3</v>
      </c>
      <c r="S100" s="20">
        <v>2.5041067350454744E-3</v>
      </c>
      <c r="T100" s="20">
        <v>2.8720521014522068E-3</v>
      </c>
      <c r="U100" s="20">
        <f t="shared" si="179"/>
        <v>3.2986183145927556E-3</v>
      </c>
      <c r="V100" s="20">
        <f>V98/V99</f>
        <v>5.0086688499325757E-3</v>
      </c>
      <c r="W100" s="20">
        <f t="shared" ref="W100:Z100" si="180">W98/W99</f>
        <v>4.8079024432886057E-3</v>
      </c>
      <c r="X100" s="20">
        <f t="shared" si="180"/>
        <v>5.2707451121722674E-3</v>
      </c>
      <c r="Y100" s="20">
        <f t="shared" si="180"/>
        <v>5.1002904649726693E-3</v>
      </c>
      <c r="Z100" s="20">
        <f t="shared" si="180"/>
        <v>5.7071727183052277E-3</v>
      </c>
    </row>
    <row r="101" spans="1:27" x14ac:dyDescent="0.3">
      <c r="B101" s="66"/>
      <c r="C101" s="66"/>
      <c r="D101" s="66"/>
      <c r="E101" s="66"/>
      <c r="F101" s="66"/>
      <c r="G101" s="66"/>
      <c r="H101" s="66"/>
      <c r="I101" s="66"/>
      <c r="J101" s="66"/>
      <c r="K101" s="66"/>
      <c r="L101" s="66"/>
      <c r="M101" s="66"/>
      <c r="N101" s="51"/>
      <c r="O101" s="66"/>
      <c r="P101" s="66"/>
      <c r="Q101" s="51"/>
      <c r="R101" s="51"/>
      <c r="S101" s="51"/>
      <c r="T101" s="51"/>
      <c r="U101" s="51"/>
      <c r="V101" s="51"/>
      <c r="W101" s="51"/>
      <c r="X101" s="51"/>
      <c r="Y101" s="51"/>
    </row>
    <row r="102" spans="1:27" x14ac:dyDescent="0.3">
      <c r="F102" s="22"/>
      <c r="G102" s="22"/>
      <c r="H102" s="22"/>
      <c r="I102" s="41"/>
      <c r="J102" s="22"/>
      <c r="K102" s="22"/>
      <c r="L102" s="22"/>
      <c r="M102" s="22"/>
      <c r="O102" s="22"/>
    </row>
    <row r="103" spans="1:27" x14ac:dyDescent="0.3">
      <c r="A103" t="s">
        <v>79</v>
      </c>
      <c r="B103" s="45">
        <v>4.3899999999999997</v>
      </c>
      <c r="C103" s="45">
        <v>4.46</v>
      </c>
      <c r="D103" s="45">
        <v>4.5599999999999996</v>
      </c>
      <c r="E103" s="45">
        <v>4.55</v>
      </c>
      <c r="F103" s="45">
        <v>4.72</v>
      </c>
      <c r="G103" s="45">
        <v>4.72</v>
      </c>
      <c r="H103" s="45">
        <v>4.72</v>
      </c>
      <c r="I103" s="45">
        <v>4.71</v>
      </c>
      <c r="J103" s="45">
        <v>4.1500000000000004</v>
      </c>
      <c r="K103" s="45">
        <v>3.96</v>
      </c>
      <c r="L103" s="45">
        <v>3.61</v>
      </c>
      <c r="M103" s="45">
        <v>3.33</v>
      </c>
      <c r="N103" s="45">
        <v>2.04</v>
      </c>
      <c r="O103" s="45">
        <v>1.62</v>
      </c>
      <c r="P103" s="45">
        <v>1.25</v>
      </c>
      <c r="Q103" s="45">
        <v>1.17</v>
      </c>
      <c r="R103" s="45">
        <v>0.47</v>
      </c>
      <c r="S103" s="45">
        <v>0.37</v>
      </c>
      <c r="T103" s="45">
        <v>0.36</v>
      </c>
      <c r="U103" s="45">
        <v>0.46</v>
      </c>
      <c r="V103" s="44">
        <v>0.69335999999999998</v>
      </c>
      <c r="W103" s="45">
        <v>0.79801</v>
      </c>
      <c r="X103" s="45">
        <v>1.0606800000000001</v>
      </c>
      <c r="Y103" s="45">
        <v>1.6559900000000001</v>
      </c>
      <c r="Z103" s="45">
        <v>1.5542800000000001</v>
      </c>
    </row>
    <row r="104" spans="1:27" x14ac:dyDescent="0.3">
      <c r="A104" t="s">
        <v>80</v>
      </c>
      <c r="B104" s="22">
        <v>365</v>
      </c>
      <c r="C104" s="22">
        <v>273</v>
      </c>
      <c r="D104" s="22">
        <v>181</v>
      </c>
      <c r="E104" s="22">
        <v>90</v>
      </c>
      <c r="F104" s="22">
        <v>366</v>
      </c>
      <c r="G104" s="22">
        <v>274</v>
      </c>
      <c r="H104" s="22">
        <v>182</v>
      </c>
      <c r="I104" s="22">
        <v>91</v>
      </c>
      <c r="J104" s="22">
        <v>365</v>
      </c>
      <c r="K104" s="22">
        <v>273</v>
      </c>
      <c r="L104" s="22">
        <v>181</v>
      </c>
      <c r="M104" s="22">
        <v>90</v>
      </c>
      <c r="N104" s="22">
        <v>365</v>
      </c>
      <c r="O104" s="22">
        <v>273</v>
      </c>
      <c r="P104" s="22">
        <v>181</v>
      </c>
      <c r="Q104" s="22">
        <v>90</v>
      </c>
      <c r="R104" s="22">
        <v>365</v>
      </c>
      <c r="S104" s="22">
        <v>273</v>
      </c>
      <c r="T104" s="22">
        <v>181</v>
      </c>
      <c r="U104" s="22">
        <v>90</v>
      </c>
      <c r="V104" s="37">
        <v>366</v>
      </c>
      <c r="W104" s="22">
        <v>275</v>
      </c>
      <c r="X104" s="22">
        <v>182</v>
      </c>
      <c r="Y104" s="22">
        <v>91</v>
      </c>
      <c r="Z104" s="22">
        <v>365</v>
      </c>
    </row>
    <row r="105" spans="1:27" x14ac:dyDescent="0.3">
      <c r="F105" s="22"/>
      <c r="H105" s="22"/>
      <c r="J105" s="22"/>
      <c r="Q105" s="22"/>
      <c r="R105" s="22"/>
      <c r="S105" s="22"/>
      <c r="T105" s="22"/>
      <c r="U105" s="22"/>
      <c r="V105" s="37"/>
      <c r="W105" s="22"/>
      <c r="X105" s="22"/>
      <c r="Y105" s="22"/>
    </row>
    <row r="106" spans="1:27" s="22" customFormat="1" x14ac:dyDescent="0.3">
      <c r="A106" s="22" t="s">
        <v>81</v>
      </c>
      <c r="B106" s="24">
        <v>21294</v>
      </c>
      <c r="C106" s="24">
        <v>21547</v>
      </c>
      <c r="D106" s="24">
        <v>21785</v>
      </c>
      <c r="E106" s="24">
        <v>21551</v>
      </c>
      <c r="F106" s="24">
        <v>19114</v>
      </c>
      <c r="G106" s="24">
        <v>18863</v>
      </c>
      <c r="H106" s="24">
        <v>18689</v>
      </c>
      <c r="I106" s="24">
        <v>18785</v>
      </c>
      <c r="J106" s="24">
        <v>18195</v>
      </c>
      <c r="K106" s="24">
        <v>18058</v>
      </c>
      <c r="L106" s="24">
        <v>17838</v>
      </c>
      <c r="M106" s="24">
        <v>17497</v>
      </c>
      <c r="N106" s="24">
        <v>16516</v>
      </c>
      <c r="O106" s="24">
        <v>16305</v>
      </c>
      <c r="P106" s="24">
        <v>16239</v>
      </c>
      <c r="Q106" s="24">
        <v>16138</v>
      </c>
      <c r="R106" s="24">
        <f>18090-R107</f>
        <v>14519</v>
      </c>
      <c r="S106" s="24">
        <v>14514</v>
      </c>
      <c r="T106" s="24">
        <v>14559</v>
      </c>
      <c r="U106" s="24">
        <f>18314-U107</f>
        <v>14394</v>
      </c>
      <c r="V106" s="24">
        <v>12950</v>
      </c>
      <c r="W106" s="24">
        <v>12710</v>
      </c>
      <c r="X106" s="24">
        <v>12550</v>
      </c>
      <c r="Y106" s="24">
        <v>12133</v>
      </c>
      <c r="Z106" s="24">
        <v>10650</v>
      </c>
    </row>
    <row r="107" spans="1:27" s="22" customFormat="1" x14ac:dyDescent="0.3">
      <c r="A107" s="22" t="s">
        <v>106</v>
      </c>
      <c r="B107" s="24">
        <v>3717</v>
      </c>
      <c r="C107" s="24">
        <v>3720</v>
      </c>
      <c r="D107" s="24">
        <v>3712</v>
      </c>
      <c r="E107" s="24">
        <v>3717</v>
      </c>
      <c r="F107" s="24">
        <v>3713</v>
      </c>
      <c r="G107" s="24">
        <v>3722</v>
      </c>
      <c r="H107" s="24">
        <v>3727</v>
      </c>
      <c r="I107" s="24">
        <v>3730</v>
      </c>
      <c r="J107" s="24">
        <v>3335</v>
      </c>
      <c r="K107" s="24">
        <v>3243</v>
      </c>
      <c r="L107" s="24">
        <v>3082</v>
      </c>
      <c r="M107" s="24">
        <v>3056</v>
      </c>
      <c r="N107" s="24">
        <v>3114</v>
      </c>
      <c r="O107" s="24">
        <v>3135</v>
      </c>
      <c r="P107" s="24">
        <v>3211</v>
      </c>
      <c r="Q107" s="24">
        <v>3235</v>
      </c>
      <c r="R107" s="24">
        <v>3571</v>
      </c>
      <c r="S107" s="24">
        <v>3725</v>
      </c>
      <c r="T107" s="24">
        <v>3826</v>
      </c>
      <c r="U107" s="24">
        <v>3920</v>
      </c>
      <c r="V107" s="24">
        <v>4079</v>
      </c>
      <c r="W107" s="24">
        <v>4125</v>
      </c>
      <c r="X107" s="24">
        <v>4121</v>
      </c>
      <c r="Y107" s="24">
        <v>4067</v>
      </c>
      <c r="Z107" s="24">
        <v>4313</v>
      </c>
    </row>
    <row r="108" spans="1:27" s="22" customFormat="1" x14ac:dyDescent="0.3">
      <c r="A108" s="22" t="s">
        <v>82</v>
      </c>
      <c r="B108" s="24">
        <v>1541</v>
      </c>
      <c r="C108" s="24">
        <v>1183</v>
      </c>
      <c r="D108" s="24">
        <v>805</v>
      </c>
      <c r="E108" s="24">
        <v>396</v>
      </c>
      <c r="F108" s="24">
        <v>1456</v>
      </c>
      <c r="G108" s="24">
        <v>1076</v>
      </c>
      <c r="H108" s="24">
        <v>708.2</v>
      </c>
      <c r="I108" s="24">
        <v>355.5</v>
      </c>
      <c r="J108" s="24">
        <v>1250</v>
      </c>
      <c r="K108" s="24">
        <v>914</v>
      </c>
      <c r="L108" s="24">
        <v>560</v>
      </c>
      <c r="M108" s="24">
        <v>265.5</v>
      </c>
      <c r="N108" s="24">
        <v>768</v>
      </c>
      <c r="O108" s="24">
        <v>517</v>
      </c>
      <c r="P108" s="24">
        <v>327</v>
      </c>
      <c r="Q108" s="24">
        <v>157.35300000000001</v>
      </c>
      <c r="R108" s="24">
        <v>491</v>
      </c>
      <c r="S108" s="24">
        <v>362.3</v>
      </c>
      <c r="T108" s="24">
        <v>241.89999999999998</v>
      </c>
      <c r="U108" s="24">
        <v>121.5</v>
      </c>
      <c r="V108" s="48">
        <v>492.95800000000003</v>
      </c>
      <c r="W108" s="24">
        <v>380.67900000000003</v>
      </c>
      <c r="X108" s="24">
        <v>269.61900000000003</v>
      </c>
      <c r="Y108" s="24">
        <v>141.172</v>
      </c>
      <c r="Z108" s="24">
        <v>466.428</v>
      </c>
    </row>
    <row r="109" spans="1:27" s="22" customFormat="1" x14ac:dyDescent="0.3">
      <c r="A109" s="22" t="s">
        <v>107</v>
      </c>
      <c r="B109" s="24">
        <v>257</v>
      </c>
      <c r="C109" s="24">
        <v>196</v>
      </c>
      <c r="D109" s="24">
        <v>131</v>
      </c>
      <c r="E109" s="24">
        <v>66</v>
      </c>
      <c r="F109" s="24">
        <v>270</v>
      </c>
      <c r="G109" s="24">
        <v>203</v>
      </c>
      <c r="H109" s="24">
        <v>135</v>
      </c>
      <c r="I109" s="24">
        <v>67</v>
      </c>
      <c r="J109" s="24">
        <v>219</v>
      </c>
      <c r="K109" s="24">
        <v>135</v>
      </c>
      <c r="L109" s="24">
        <v>92</v>
      </c>
      <c r="M109" s="24">
        <v>44</v>
      </c>
      <c r="N109" s="24">
        <v>133</v>
      </c>
      <c r="O109" s="24">
        <v>91</v>
      </c>
      <c r="P109" s="24">
        <v>58</v>
      </c>
      <c r="Q109" s="24">
        <v>29</v>
      </c>
      <c r="R109" s="24">
        <v>109</v>
      </c>
      <c r="S109" s="24">
        <v>83</v>
      </c>
      <c r="T109" s="24">
        <v>57.6</v>
      </c>
      <c r="U109" s="24">
        <v>30</v>
      </c>
      <c r="V109" s="48">
        <v>144</v>
      </c>
      <c r="W109" s="24">
        <v>115</v>
      </c>
      <c r="X109" s="24">
        <v>83.8</v>
      </c>
      <c r="Y109" s="24">
        <v>45.5</v>
      </c>
      <c r="Z109" s="24">
        <v>176.833</v>
      </c>
    </row>
    <row r="110" spans="1:27" s="22" customFormat="1" x14ac:dyDescent="0.3">
      <c r="A110" s="32" t="s">
        <v>83</v>
      </c>
      <c r="B110" s="54">
        <f>+(B106+B107)*B103%*B104/365</f>
        <v>1097.9829</v>
      </c>
      <c r="C110" s="54">
        <f>+(C106+C107)*C103%*C104/365</f>
        <v>842.86558520547942</v>
      </c>
      <c r="D110" s="54">
        <f>+(D106+D107)*D103%*D104/365</f>
        <v>576.55353205479457</v>
      </c>
      <c r="E110" s="54">
        <f>+(E106+E107)*E103%*E104/365</f>
        <v>283.48619178082191</v>
      </c>
      <c r="F110" s="54">
        <f>+(F106+F107)*F103%*F104/366</f>
        <v>1077.4343999999999</v>
      </c>
      <c r="G110" s="54">
        <f>+(G106+G107)*G103%*G104/366</f>
        <v>798.0526994535519</v>
      </c>
      <c r="H110" s="54">
        <f>+(H106+H107)*H103%*H104/366</f>
        <v>526.12679344262301</v>
      </c>
      <c r="I110" s="54">
        <f>+(I106+I107)*I103%*I104/366</f>
        <v>263.66541393442623</v>
      </c>
      <c r="J110" s="54">
        <f t="shared" ref="J110" si="181">+(J106+J107)*J103%*J104/365</f>
        <v>893.495</v>
      </c>
      <c r="K110" s="54">
        <f t="shared" ref="K110:L110" si="182">+(K106+K107)*K103%*K104/365</f>
        <v>630.90644054794518</v>
      </c>
      <c r="L110" s="54">
        <f t="shared" si="182"/>
        <v>374.50238904109591</v>
      </c>
      <c r="M110" s="54">
        <f t="shared" ref="M110:R110" si="183">+(M106+M107)*M103%*M104/365</f>
        <v>168.75983835616441</v>
      </c>
      <c r="N110" s="54">
        <f t="shared" si="183"/>
        <v>400.45200000000006</v>
      </c>
      <c r="O110" s="54">
        <f t="shared" si="183"/>
        <v>235.5488876712329</v>
      </c>
      <c r="P110" s="54">
        <f t="shared" si="183"/>
        <v>120.56335616438356</v>
      </c>
      <c r="Q110" s="49">
        <f t="shared" si="183"/>
        <v>55.889778082191775</v>
      </c>
      <c r="R110" s="49">
        <f t="shared" si="183"/>
        <v>85.022999999999982</v>
      </c>
      <c r="S110" s="49">
        <v>50.47455863013699</v>
      </c>
      <c r="T110" s="49">
        <v>32.821002739726026</v>
      </c>
      <c r="U110" s="49">
        <f>+(U106+U107)*U103%*U104/365</f>
        <v>20.772591780821919</v>
      </c>
      <c r="V110" s="49">
        <f>+(V106+V107)*V103%*V104/366</f>
        <v>118.0722744</v>
      </c>
      <c r="W110" s="49">
        <f t="shared" ref="W110:X110" si="184">+(W106+W107)*W103%*W104/366</f>
        <v>100.94226902322406</v>
      </c>
      <c r="X110" s="49">
        <f t="shared" si="184"/>
        <v>87.929850354098363</v>
      </c>
      <c r="Y110" s="49">
        <f>+(Y106+Y107)*Y103%*Y104/366</f>
        <v>66.701105409836075</v>
      </c>
      <c r="Z110" s="49">
        <f>+(Z106+Z107)*Z103%*Z104/365</f>
        <v>232.5669164</v>
      </c>
    </row>
    <row r="111" spans="1:27" s="22" customFormat="1" x14ac:dyDescent="0.3">
      <c r="A111" s="22" t="s">
        <v>84</v>
      </c>
      <c r="B111" s="60">
        <f>+B109+B108-B110</f>
        <v>700.01710000000003</v>
      </c>
      <c r="C111" s="60">
        <f>+C109+C108-C110</f>
        <v>536.13441479452058</v>
      </c>
      <c r="D111" s="60">
        <f>+D109+D108-D110</f>
        <v>359.44646794520543</v>
      </c>
      <c r="E111" s="60">
        <f>+E109+E108-E110</f>
        <v>178.51380821917809</v>
      </c>
      <c r="F111" s="60">
        <f>+F109+F108-F110</f>
        <v>648.56560000000013</v>
      </c>
      <c r="G111" s="60">
        <f t="shared" ref="G111:H111" si="185">+G109+G108-G110</f>
        <v>480.9473005464481</v>
      </c>
      <c r="H111" s="60">
        <f t="shared" si="185"/>
        <v>317.07320655737703</v>
      </c>
      <c r="I111" s="60">
        <f t="shared" ref="I111:J111" si="186">+I109+I108-I110</f>
        <v>158.83458606557377</v>
      </c>
      <c r="J111" s="60">
        <f t="shared" si="186"/>
        <v>575.505</v>
      </c>
      <c r="K111" s="60">
        <f t="shared" ref="K111:L111" si="187">+K109+K108-K110</f>
        <v>418.09355945205482</v>
      </c>
      <c r="L111" s="60">
        <f t="shared" si="187"/>
        <v>277.49761095890409</v>
      </c>
      <c r="M111" s="60">
        <f t="shared" ref="M111:R111" si="188">+M109+M108-M110</f>
        <v>140.74016164383559</v>
      </c>
      <c r="N111" s="60">
        <f t="shared" si="188"/>
        <v>500.54799999999994</v>
      </c>
      <c r="O111" s="60">
        <f t="shared" si="188"/>
        <v>372.45111232876707</v>
      </c>
      <c r="P111" s="60">
        <f t="shared" si="188"/>
        <v>264.43664383561645</v>
      </c>
      <c r="Q111" s="63">
        <f t="shared" si="188"/>
        <v>130.46322191780823</v>
      </c>
      <c r="R111" s="48">
        <f t="shared" si="188"/>
        <v>514.97699999999998</v>
      </c>
      <c r="S111" s="48">
        <v>394.82544136986303</v>
      </c>
      <c r="T111" s="48">
        <v>266.67899726027395</v>
      </c>
      <c r="U111" s="48">
        <f>+U109+U108-U110</f>
        <v>130.72740821917807</v>
      </c>
      <c r="V111" s="48">
        <f>+V109+V108-V110</f>
        <v>518.88572560000011</v>
      </c>
      <c r="W111" s="48">
        <f t="shared" ref="W111:Z111" si="189">+W109+W108-W110</f>
        <v>394.73673097677596</v>
      </c>
      <c r="X111" s="48">
        <f t="shared" si="189"/>
        <v>265.48914964590165</v>
      </c>
      <c r="Y111" s="48">
        <f>+Y109+Y108-Y110</f>
        <v>119.97089459016392</v>
      </c>
      <c r="Z111" s="48">
        <f t="shared" si="189"/>
        <v>410.6940836</v>
      </c>
    </row>
    <row r="112" spans="1:27" s="41" customFormat="1" ht="15" thickBot="1" x14ac:dyDescent="0.35">
      <c r="A112" s="14" t="s">
        <v>85</v>
      </c>
      <c r="B112" s="20">
        <f>+B111*(365/B104)/(B106+B107)</f>
        <v>2.7988369117588261E-2</v>
      </c>
      <c r="C112" s="20">
        <f>+C111*(365/C104)/(C106+C107)</f>
        <v>2.8369404706453032E-2</v>
      </c>
      <c r="D112" s="20">
        <f>+D111*(365/D104)/(D106+D107)</f>
        <v>2.8428858773765386E-2</v>
      </c>
      <c r="E112" s="20">
        <f>+E111*(365/E104)/(E106+E107)</f>
        <v>2.8651759801593582E-2</v>
      </c>
      <c r="F112" s="20">
        <f t="shared" ref="F112:I112" si="190">+F111*(366/F104)/(F106+F107)</f>
        <v>2.8412213606693833E-2</v>
      </c>
      <c r="G112" s="20">
        <f t="shared" si="190"/>
        <v>2.8445129753130512E-2</v>
      </c>
      <c r="H112" s="20">
        <f t="shared" si="190"/>
        <v>2.8445339671035599E-2</v>
      </c>
      <c r="I112" s="20">
        <f t="shared" si="190"/>
        <v>2.8373493861235367E-2</v>
      </c>
      <c r="J112" s="20">
        <f t="shared" ref="J112" si="191">+J111*(365/J104)/(J106+J107)</f>
        <v>2.6730376219228982E-2</v>
      </c>
      <c r="K112" s="20">
        <f t="shared" ref="K112:L112" si="192">+K111*(365/K104)/(K106+K107)</f>
        <v>2.6242409159624315E-2</v>
      </c>
      <c r="L112" s="20">
        <f t="shared" si="192"/>
        <v>2.6749265288444266E-2</v>
      </c>
      <c r="M112" s="20">
        <f t="shared" ref="M112:R112" si="193">+M111*(365/M104)/(M106+M107)</f>
        <v>2.7771106137519794E-2</v>
      </c>
      <c r="N112" s="20">
        <f t="shared" si="193"/>
        <v>2.5499133978604174E-2</v>
      </c>
      <c r="O112" s="20">
        <f t="shared" si="193"/>
        <v>2.5615523297004773E-2</v>
      </c>
      <c r="P112" s="20">
        <f t="shared" si="193"/>
        <v>2.7416772003579087E-2</v>
      </c>
      <c r="Q112" s="20">
        <f t="shared" si="193"/>
        <v>2.7311249906800415E-2</v>
      </c>
      <c r="R112" s="20">
        <f t="shared" si="193"/>
        <v>2.8467495854063017E-2</v>
      </c>
      <c r="S112" s="20">
        <v>2.8942385485194847E-2</v>
      </c>
      <c r="T112" s="20">
        <v>2.9250915876953498E-2</v>
      </c>
      <c r="U112" s="20">
        <f>+U111*(365/U104)/(U106+U107)</f>
        <v>2.894901532525208E-2</v>
      </c>
      <c r="V112" s="20">
        <f>+V111*(366/V104)/(V106+V107)</f>
        <v>3.047071029420401E-2</v>
      </c>
      <c r="W112" s="20">
        <f t="shared" ref="W112:Y112" si="194">+W111*(366/W104)/(W106+W107)</f>
        <v>3.1206338210438209E-2</v>
      </c>
      <c r="X112" s="20">
        <f t="shared" si="194"/>
        <v>3.2025419139507245E-2</v>
      </c>
      <c r="Y112" s="20">
        <f t="shared" si="194"/>
        <v>2.9785203785103784E-2</v>
      </c>
      <c r="Z112" s="20">
        <f>+Z111*(365/Z104)/(Z106+Z107)</f>
        <v>2.7447308935373921E-2</v>
      </c>
      <c r="AA112" s="22"/>
    </row>
    <row r="113" spans="1:27" s="22" customFormat="1" hidden="1" x14ac:dyDescent="0.3">
      <c r="B113" s="50"/>
      <c r="C113" s="50"/>
      <c r="D113" s="74"/>
      <c r="E113" s="50"/>
      <c r="F113" s="50"/>
      <c r="G113" s="50"/>
      <c r="H113" s="64"/>
      <c r="I113" s="64"/>
      <c r="J113" s="50"/>
      <c r="K113" s="64"/>
      <c r="L113" s="64"/>
      <c r="M113" s="50"/>
      <c r="N113" s="64"/>
      <c r="O113" s="64"/>
      <c r="P113" s="64"/>
      <c r="Q113" s="50"/>
      <c r="R113" s="50">
        <f>+(R108+R109)*(365/R104)/(R106+R107)</f>
        <v>3.316749585406302E-2</v>
      </c>
      <c r="S113" s="50">
        <v>3.2642385485194846E-2</v>
      </c>
      <c r="T113" s="50">
        <v>3.2850915876953497E-2</v>
      </c>
      <c r="U113" s="50">
        <f>+(U108+U109)*(365/U104)/(U106+U107)</f>
        <v>3.3549015325252084E-2</v>
      </c>
      <c r="V113" s="46"/>
      <c r="W113" s="47"/>
      <c r="X113" s="47"/>
      <c r="Y113" s="47"/>
      <c r="Z113" s="47"/>
    </row>
    <row r="114" spans="1:27" s="22" customFormat="1" hidden="1" x14ac:dyDescent="0.3">
      <c r="B114" s="50"/>
      <c r="C114" s="50"/>
      <c r="D114" s="74"/>
      <c r="E114" s="50"/>
      <c r="F114" s="50"/>
      <c r="G114" s="50"/>
      <c r="H114" s="64"/>
      <c r="I114" s="64"/>
      <c r="J114" s="50"/>
      <c r="K114" s="64"/>
      <c r="L114" s="64"/>
      <c r="M114" s="50"/>
      <c r="N114" s="64"/>
      <c r="O114" s="64"/>
      <c r="P114" s="64"/>
      <c r="Q114" s="50"/>
      <c r="R114" s="50">
        <f>+(R108)*(365/R104)/(R106)</f>
        <v>3.3817756043804673E-2</v>
      </c>
      <c r="S114" s="50">
        <v>3.3374243688423101E-2</v>
      </c>
      <c r="T114" s="50">
        <v>3.3505693541121873E-2</v>
      </c>
      <c r="U114" s="50">
        <f>+(U108)*(365/U104)/(U106)</f>
        <v>3.4233013755731553E-2</v>
      </c>
      <c r="V114" s="46"/>
      <c r="W114" s="47"/>
      <c r="X114" s="47"/>
      <c r="Y114" s="47"/>
      <c r="Z114" s="47"/>
    </row>
    <row r="115" spans="1:27" s="22" customFormat="1" hidden="1" x14ac:dyDescent="0.3">
      <c r="B115" s="50"/>
      <c r="C115" s="50"/>
      <c r="D115" s="74"/>
      <c r="E115" s="50"/>
      <c r="F115" s="50"/>
      <c r="G115" s="50"/>
      <c r="H115" s="64"/>
      <c r="I115" s="64"/>
      <c r="J115" s="50"/>
      <c r="K115" s="64"/>
      <c r="L115" s="64"/>
      <c r="M115" s="50"/>
      <c r="N115" s="64"/>
      <c r="O115" s="64"/>
      <c r="P115" s="64"/>
      <c r="Q115" s="50"/>
      <c r="R115" s="50">
        <f>+(R109)*(365/R104)/(R107)</f>
        <v>3.0523662839540746E-2</v>
      </c>
      <c r="S115" s="50">
        <v>2.9790790864616366E-2</v>
      </c>
      <c r="T115" s="50">
        <v>3.0359303746104731E-2</v>
      </c>
      <c r="U115" s="50">
        <f>+(U109)*(365/U104)/(U107)</f>
        <v>3.1037414965986391E-2</v>
      </c>
      <c r="V115" s="46"/>
      <c r="W115" s="47"/>
      <c r="X115" s="47"/>
      <c r="Y115" s="47"/>
      <c r="Z115" s="47"/>
    </row>
    <row r="116" spans="1:27" s="22" customFormat="1" x14ac:dyDescent="0.3">
      <c r="B116" s="73"/>
      <c r="C116" s="65"/>
      <c r="D116" s="73"/>
      <c r="E116" s="65"/>
      <c r="F116" s="73"/>
      <c r="G116" s="73"/>
      <c r="H116" s="71"/>
      <c r="I116" s="71"/>
      <c r="K116" s="17"/>
      <c r="L116" s="17"/>
      <c r="N116" s="17"/>
      <c r="O116" s="17"/>
      <c r="P116" s="17"/>
      <c r="V116" s="37"/>
    </row>
    <row r="117" spans="1:27" s="22" customFormat="1" x14ac:dyDescent="0.3">
      <c r="B117" s="73"/>
      <c r="C117" s="73"/>
      <c r="D117" s="73"/>
      <c r="E117" s="73"/>
      <c r="F117" s="73"/>
      <c r="G117" s="73"/>
      <c r="H117" s="71"/>
      <c r="I117" s="71"/>
      <c r="K117" s="17"/>
      <c r="L117" s="17"/>
      <c r="N117" s="17"/>
      <c r="O117" s="17"/>
      <c r="P117" s="17"/>
      <c r="V117" s="37"/>
    </row>
    <row r="118" spans="1:27" s="22" customFormat="1" x14ac:dyDescent="0.3">
      <c r="A118" s="22" t="s">
        <v>86</v>
      </c>
      <c r="B118" s="24">
        <v>21884</v>
      </c>
      <c r="C118" s="24">
        <v>21824</v>
      </c>
      <c r="D118" s="24">
        <v>21731</v>
      </c>
      <c r="E118" s="24">
        <v>21683</v>
      </c>
      <c r="F118" s="24">
        <v>21281</v>
      </c>
      <c r="G118" s="24">
        <v>21029</v>
      </c>
      <c r="H118" s="24">
        <v>20667</v>
      </c>
      <c r="I118" s="24">
        <v>20226</v>
      </c>
      <c r="J118" s="24">
        <v>18975</v>
      </c>
      <c r="K118" s="24">
        <v>18743</v>
      </c>
      <c r="L118" s="24">
        <v>18570</v>
      </c>
      <c r="M118" s="24">
        <v>18605</v>
      </c>
      <c r="N118" s="24">
        <v>18257</v>
      </c>
      <c r="O118" s="24">
        <v>18038</v>
      </c>
      <c r="P118" s="24">
        <v>17567</v>
      </c>
      <c r="Q118" s="24">
        <v>17450</v>
      </c>
      <c r="R118" s="24">
        <f>30997-R119</f>
        <v>16026</v>
      </c>
      <c r="S118" s="24">
        <v>15322</v>
      </c>
      <c r="T118" s="24">
        <v>15020</v>
      </c>
      <c r="U118" s="24">
        <f>29379-U119</f>
        <v>14834</v>
      </c>
      <c r="V118" s="24">
        <v>13500</v>
      </c>
      <c r="W118" s="24">
        <v>13090</v>
      </c>
      <c r="X118" s="24">
        <v>13125</v>
      </c>
      <c r="Y118" s="24">
        <v>13701</v>
      </c>
      <c r="Z118" s="24">
        <v>12910</v>
      </c>
    </row>
    <row r="119" spans="1:27" s="22" customFormat="1" x14ac:dyDescent="0.3">
      <c r="A119" s="22" t="s">
        <v>108</v>
      </c>
      <c r="B119" s="24">
        <v>20412</v>
      </c>
      <c r="C119" s="24">
        <v>20295</v>
      </c>
      <c r="D119" s="24">
        <v>20165</v>
      </c>
      <c r="E119" s="24">
        <v>20078</v>
      </c>
      <c r="F119" s="24">
        <v>19030</v>
      </c>
      <c r="G119" s="24">
        <v>18870</v>
      </c>
      <c r="H119" s="24">
        <v>18741</v>
      </c>
      <c r="I119" s="24">
        <v>18599</v>
      </c>
      <c r="J119" s="24">
        <v>18107</v>
      </c>
      <c r="K119" s="24">
        <v>18055</v>
      </c>
      <c r="L119" s="24">
        <v>17976</v>
      </c>
      <c r="M119" s="24">
        <v>17768</v>
      </c>
      <c r="N119" s="24">
        <v>16567</v>
      </c>
      <c r="O119" s="24">
        <v>16379</v>
      </c>
      <c r="P119" s="24">
        <v>16186</v>
      </c>
      <c r="Q119" s="24">
        <v>16084</v>
      </c>
      <c r="R119" s="24">
        <v>14971</v>
      </c>
      <c r="S119" s="24">
        <v>14794</v>
      </c>
      <c r="T119" s="24">
        <v>14811</v>
      </c>
      <c r="U119" s="24">
        <v>14545</v>
      </c>
      <c r="V119" s="24">
        <v>13765</v>
      </c>
      <c r="W119" s="24">
        <v>13622</v>
      </c>
      <c r="X119" s="24">
        <v>13458</v>
      </c>
      <c r="Y119" s="24">
        <v>13034</v>
      </c>
      <c r="Z119" s="24">
        <v>12210</v>
      </c>
    </row>
    <row r="120" spans="1:27" s="22" customFormat="1" x14ac:dyDescent="0.3">
      <c r="A120" s="22" t="s">
        <v>87</v>
      </c>
      <c r="B120" s="24">
        <v>1295</v>
      </c>
      <c r="C120" s="24">
        <v>976</v>
      </c>
      <c r="D120" s="24">
        <v>649</v>
      </c>
      <c r="E120" s="24">
        <v>322</v>
      </c>
      <c r="F120" s="24">
        <v>1276</v>
      </c>
      <c r="G120" s="24">
        <v>940</v>
      </c>
      <c r="H120" s="24">
        <v>615.5</v>
      </c>
      <c r="I120" s="24">
        <v>301</v>
      </c>
      <c r="J120" s="24">
        <v>969</v>
      </c>
      <c r="K120" s="24">
        <v>757</v>
      </c>
      <c r="L120" s="24">
        <v>423</v>
      </c>
      <c r="M120" s="24">
        <v>210</v>
      </c>
      <c r="N120" s="24">
        <v>575</v>
      </c>
      <c r="O120" s="24">
        <v>388</v>
      </c>
      <c r="P120" s="24">
        <v>240</v>
      </c>
      <c r="Q120" s="24">
        <v>115.334</v>
      </c>
      <c r="R120" s="24">
        <v>397</v>
      </c>
      <c r="S120" s="24">
        <v>290.7</v>
      </c>
      <c r="T120" s="24">
        <v>191</v>
      </c>
      <c r="U120" s="24">
        <v>94.3</v>
      </c>
      <c r="V120" s="48">
        <v>412.38</v>
      </c>
      <c r="W120" s="24">
        <v>317.82299999999998</v>
      </c>
      <c r="X120" s="24">
        <v>222.56</v>
      </c>
      <c r="Y120" s="24">
        <v>125.17700000000001</v>
      </c>
      <c r="Z120" s="24">
        <v>446.20400000000001</v>
      </c>
    </row>
    <row r="121" spans="1:27" s="22" customFormat="1" x14ac:dyDescent="0.3">
      <c r="A121" s="22" t="s">
        <v>109</v>
      </c>
      <c r="B121" s="24">
        <v>1123</v>
      </c>
      <c r="C121" s="24">
        <v>847</v>
      </c>
      <c r="D121" s="24">
        <v>562</v>
      </c>
      <c r="E121" s="24">
        <v>278</v>
      </c>
      <c r="F121" s="24">
        <v>1077</v>
      </c>
      <c r="G121" s="24">
        <v>800</v>
      </c>
      <c r="H121" s="24">
        <v>528</v>
      </c>
      <c r="I121" s="24">
        <v>262</v>
      </c>
      <c r="J121" s="24">
        <v>869</v>
      </c>
      <c r="K121" s="24">
        <v>547</v>
      </c>
      <c r="L121" s="24">
        <v>390</v>
      </c>
      <c r="M121" s="24">
        <v>186</v>
      </c>
      <c r="N121" s="24">
        <v>454</v>
      </c>
      <c r="O121" s="24">
        <v>297</v>
      </c>
      <c r="P121" s="24">
        <v>183</v>
      </c>
      <c r="Q121" s="24">
        <v>87</v>
      </c>
      <c r="R121" s="24">
        <v>290</v>
      </c>
      <c r="S121" s="24">
        <v>212</v>
      </c>
      <c r="T121" s="24">
        <v>139.69999999999999</v>
      </c>
      <c r="U121" s="24">
        <v>69.3</v>
      </c>
      <c r="V121" s="48">
        <v>323.60000000000002</v>
      </c>
      <c r="W121" s="24">
        <v>254.3</v>
      </c>
      <c r="X121" s="24">
        <v>185.2</v>
      </c>
      <c r="Y121" s="24">
        <v>100.78</v>
      </c>
      <c r="Z121" s="24">
        <v>346.76</v>
      </c>
    </row>
    <row r="122" spans="1:27" s="22" customFormat="1" x14ac:dyDescent="0.3">
      <c r="A122" s="32" t="s">
        <v>83</v>
      </c>
      <c r="B122" s="54">
        <f>+(B118+B119)*B103%*B104/365</f>
        <v>1856.7943999999998</v>
      </c>
      <c r="C122" s="54">
        <f>+(C118+C119)*C103%*C104/365</f>
        <v>1405.0206032876711</v>
      </c>
      <c r="D122" s="54">
        <f>+(D118+D119)*D103%*D104/365</f>
        <v>947.37760438356145</v>
      </c>
      <c r="E122" s="54">
        <f>+(E118+E119)*E103%*E104/365</f>
        <v>468.52409589041093</v>
      </c>
      <c r="F122" s="54">
        <f t="shared" ref="F122:I122" si="195">+(F118+F119)*F103%*F104/366</f>
        <v>1902.6792000000003</v>
      </c>
      <c r="G122" s="54">
        <f t="shared" si="195"/>
        <v>1409.8518775956284</v>
      </c>
      <c r="H122" s="54">
        <f t="shared" si="195"/>
        <v>924.94667540983596</v>
      </c>
      <c r="I122" s="54">
        <f t="shared" si="195"/>
        <v>454.6662090163934</v>
      </c>
      <c r="J122" s="54">
        <f t="shared" ref="J122" si="196">+(J118+J119)*J103%*J104/365</f>
        <v>1538.903</v>
      </c>
      <c r="K122" s="54">
        <f t="shared" ref="K122:L122" si="197">+(K118+K119)*K103%*K104/365</f>
        <v>1089.9063517808218</v>
      </c>
      <c r="L122" s="54">
        <f t="shared" si="197"/>
        <v>654.23347561643834</v>
      </c>
      <c r="M122" s="54">
        <f t="shared" ref="M122:R122" si="198">+(M118+M119)*M103%*M104/365</f>
        <v>298.65720821917813</v>
      </c>
      <c r="N122" s="54">
        <f t="shared" si="198"/>
        <v>710.40960000000007</v>
      </c>
      <c r="O122" s="54">
        <f t="shared" si="198"/>
        <v>417.02088821917812</v>
      </c>
      <c r="P122" s="54">
        <f t="shared" si="198"/>
        <v>209.22236301369864</v>
      </c>
      <c r="Q122" s="49">
        <f t="shared" si="198"/>
        <v>96.74329315068492</v>
      </c>
      <c r="R122" s="49">
        <f t="shared" si="198"/>
        <v>145.68589999999998</v>
      </c>
      <c r="S122" s="49">
        <v>83.342935890410956</v>
      </c>
      <c r="T122" s="49">
        <v>53.25446465753425</v>
      </c>
      <c r="U122" s="49">
        <f>+(U118+U119)*U103%*U104/365</f>
        <v>33.323030136986297</v>
      </c>
      <c r="V122" s="49">
        <f>+(V118+V119)*V103%*V104/366</f>
        <v>189.04460400000002</v>
      </c>
      <c r="W122" s="49">
        <f t="shared" ref="W122:Y122" si="199">+(W118+W119)*W103%*W104/366</f>
        <v>160.16453163934429</v>
      </c>
      <c r="X122" s="49">
        <f t="shared" si="199"/>
        <v>140.2098981442623</v>
      </c>
      <c r="Y122" s="49">
        <f t="shared" si="199"/>
        <v>110.07741068715848</v>
      </c>
      <c r="Z122" s="49">
        <f>+(Z118+Z119)*Z103%*Z104/365</f>
        <v>390.435136</v>
      </c>
    </row>
    <row r="123" spans="1:27" s="22" customFormat="1" x14ac:dyDescent="0.3">
      <c r="A123" s="22" t="s">
        <v>84</v>
      </c>
      <c r="B123" s="60">
        <f t="shared" ref="B123:C123" si="200">+B121+B120-B122</f>
        <v>561.20560000000023</v>
      </c>
      <c r="C123" s="60">
        <f t="shared" si="200"/>
        <v>417.97939671232893</v>
      </c>
      <c r="D123" s="60">
        <f t="shared" ref="D123:E123" si="201">+D121+D120-D122</f>
        <v>263.62239561643855</v>
      </c>
      <c r="E123" s="60">
        <f t="shared" si="201"/>
        <v>131.47590410958907</v>
      </c>
      <c r="F123" s="60">
        <f t="shared" ref="F123:G123" si="202">+F121+F120-F122</f>
        <v>450.32079999999974</v>
      </c>
      <c r="G123" s="60">
        <f t="shared" si="202"/>
        <v>330.14812240437163</v>
      </c>
      <c r="H123" s="60">
        <f t="shared" ref="H123:I123" si="203">+H121+H120-H122</f>
        <v>218.55332459016404</v>
      </c>
      <c r="I123" s="60">
        <f t="shared" si="203"/>
        <v>108.3337909836066</v>
      </c>
      <c r="J123" s="60">
        <f t="shared" ref="J123:K123" si="204">+J121+J120-J122</f>
        <v>299.09699999999998</v>
      </c>
      <c r="K123" s="60">
        <f t="shared" si="204"/>
        <v>214.09364821917825</v>
      </c>
      <c r="L123" s="60">
        <f t="shared" ref="L123:Q123" si="205">+L121+L120-L122</f>
        <v>158.76652438356166</v>
      </c>
      <c r="M123" s="60">
        <f t="shared" si="205"/>
        <v>97.342791780821869</v>
      </c>
      <c r="N123" s="60">
        <f t="shared" si="205"/>
        <v>318.59039999999993</v>
      </c>
      <c r="O123" s="60">
        <f t="shared" si="205"/>
        <v>267.97911178082188</v>
      </c>
      <c r="P123" s="60">
        <f t="shared" si="205"/>
        <v>213.77763698630136</v>
      </c>
      <c r="Q123" s="63">
        <f t="shared" si="205"/>
        <v>105.59070684931508</v>
      </c>
      <c r="R123" s="48">
        <f t="shared" ref="R123:U123" si="206">+R121+R120-R122</f>
        <v>541.31410000000005</v>
      </c>
      <c r="S123" s="48">
        <v>419.35706410958903</v>
      </c>
      <c r="T123" s="48">
        <v>277.44553534246575</v>
      </c>
      <c r="U123" s="48">
        <f t="shared" si="206"/>
        <v>130.2769698630137</v>
      </c>
      <c r="V123" s="48">
        <f>+V121+V120-V122</f>
        <v>546.93539599999997</v>
      </c>
      <c r="W123" s="48">
        <f t="shared" ref="W123:Z123" si="207">+W121+W120-W122</f>
        <v>411.95846836065573</v>
      </c>
      <c r="X123" s="48">
        <f t="shared" si="207"/>
        <v>267.55010185573769</v>
      </c>
      <c r="Y123" s="48">
        <f t="shared" si="207"/>
        <v>115.87958931284152</v>
      </c>
      <c r="Z123" s="48">
        <f t="shared" si="207"/>
        <v>402.52886399999994</v>
      </c>
    </row>
    <row r="124" spans="1:27" s="41" customFormat="1" ht="15" thickBot="1" x14ac:dyDescent="0.35">
      <c r="A124" s="14" t="s">
        <v>88</v>
      </c>
      <c r="B124" s="20">
        <f>+B123*(365/B104)/(B118+B119)</f>
        <v>1.326852657461699E-2</v>
      </c>
      <c r="C124" s="20">
        <f>+C123*(365/C104)/(C118+C119)</f>
        <v>1.3268048204950793E-2</v>
      </c>
      <c r="D124" s="20">
        <f>+D123*(365/D104)/(D118+D119)</f>
        <v>1.2688901642267051E-2</v>
      </c>
      <c r="E124" s="20">
        <f>+E123*(365/E104)/(E118+E119)</f>
        <v>1.2768081064470041E-2</v>
      </c>
      <c r="F124" s="20">
        <f t="shared" ref="F124:I124" si="208">+F123*(366/F104)/(F118+F119)</f>
        <v>1.1171164198357762E-2</v>
      </c>
      <c r="G124" s="20">
        <f t="shared" si="208"/>
        <v>1.1052928059408402E-2</v>
      </c>
      <c r="H124" s="20">
        <f t="shared" si="208"/>
        <v>1.1152769337848515E-2</v>
      </c>
      <c r="I124" s="20">
        <f t="shared" si="208"/>
        <v>1.122256603666778E-2</v>
      </c>
      <c r="J124" s="20">
        <f t="shared" ref="J124" si="209">+J123*(365/J104)/(J118+J119)</f>
        <v>8.0658270859176959E-3</v>
      </c>
      <c r="K124" s="20">
        <f t="shared" ref="K124:L124" si="210">+K123*(365/K104)/(K118+K119)</f>
        <v>7.7787494821246706E-3</v>
      </c>
      <c r="L124" s="20">
        <f t="shared" si="210"/>
        <v>8.7605904372994869E-3</v>
      </c>
      <c r="M124" s="20">
        <f t="shared" ref="M124:R124" si="211">+M123*(365/M104)/(M118+M119)</f>
        <v>1.0853630440161653E-2</v>
      </c>
      <c r="N124" s="20">
        <f t="shared" si="211"/>
        <v>9.1485871812543047E-3</v>
      </c>
      <c r="O124" s="20">
        <f t="shared" si="211"/>
        <v>1.041017784357994E-2</v>
      </c>
      <c r="P124" s="20">
        <f t="shared" si="211"/>
        <v>1.2772155059513433E-2</v>
      </c>
      <c r="Q124" s="20">
        <f t="shared" si="211"/>
        <v>1.2769993969636125E-2</v>
      </c>
      <c r="R124" s="20">
        <f t="shared" si="211"/>
        <v>1.7463435171145597E-2</v>
      </c>
      <c r="S124" s="20">
        <v>1.8617308361271703E-2</v>
      </c>
      <c r="T124" s="20">
        <v>1.8755308754973457E-2</v>
      </c>
      <c r="U124" s="20">
        <f>+U123*(365/U104)/(U118+U119)</f>
        <v>1.7983780553759109E-2</v>
      </c>
      <c r="V124" s="20">
        <f>+V123*(366/V104)/(V118+V119)</f>
        <v>2.0059981514762515E-2</v>
      </c>
      <c r="W124" s="20">
        <f>+W123*(366/W104)/(W118+W119)</f>
        <v>2.0525579163603688E-2</v>
      </c>
      <c r="X124" s="20">
        <f t="shared" ref="X124:Y124" si="212">+X123*(366/X104)/(X118+X119)</f>
        <v>2.0240014848620515E-2</v>
      </c>
      <c r="Y124" s="20">
        <f t="shared" si="212"/>
        <v>1.7432772074512357E-2</v>
      </c>
      <c r="Z124" s="20">
        <f>+Z123*(365/Z104)/(Z118+Z119)</f>
        <v>1.6024238216560509E-2</v>
      </c>
      <c r="AA124" s="22"/>
    </row>
    <row r="125" spans="1:27" s="41" customFormat="1" x14ac:dyDescent="0.3">
      <c r="B125" s="33"/>
      <c r="C125" s="33"/>
      <c r="D125" s="33"/>
      <c r="E125" s="65"/>
      <c r="F125" s="33"/>
      <c r="G125" s="33"/>
      <c r="H125" s="33"/>
      <c r="I125" s="65"/>
      <c r="J125" s="33"/>
      <c r="K125" s="65"/>
      <c r="L125" s="65"/>
      <c r="M125" s="65"/>
      <c r="N125" s="65"/>
      <c r="O125" s="33"/>
      <c r="P125" s="65"/>
      <c r="Q125" s="33"/>
      <c r="R125" s="47"/>
      <c r="S125" s="47"/>
      <c r="T125" s="47"/>
      <c r="U125" s="43"/>
      <c r="V125" s="42"/>
      <c r="W125" s="43"/>
      <c r="X125" s="43"/>
      <c r="Y125" s="43"/>
      <c r="Z125" s="43"/>
      <c r="AA125" s="22"/>
    </row>
    <row r="126" spans="1:27" x14ac:dyDescent="0.3">
      <c r="A126" s="22"/>
      <c r="B126" s="33"/>
      <c r="C126" s="33"/>
      <c r="D126" s="33"/>
      <c r="E126" s="33"/>
      <c r="F126" s="33"/>
      <c r="G126" s="33"/>
      <c r="H126" s="33"/>
      <c r="I126" s="65"/>
      <c r="J126" s="33"/>
      <c r="K126" s="65"/>
      <c r="L126" s="65"/>
      <c r="M126" s="65"/>
      <c r="N126" s="65"/>
      <c r="O126" s="65"/>
      <c r="P126" s="65"/>
      <c r="Q126" s="33"/>
      <c r="R126" s="47"/>
      <c r="S126" s="47"/>
      <c r="T126" s="47"/>
      <c r="U126" s="47"/>
      <c r="V126" s="46"/>
      <c r="W126" s="47"/>
      <c r="X126" s="47"/>
      <c r="Y126" s="47"/>
      <c r="Z126" s="47"/>
    </row>
    <row r="127" spans="1:27" x14ac:dyDescent="0.3">
      <c r="A127" s="22" t="s">
        <v>89</v>
      </c>
      <c r="B127" s="24">
        <v>27862</v>
      </c>
      <c r="C127" s="24">
        <v>27479</v>
      </c>
      <c r="D127" s="24">
        <v>27078</v>
      </c>
      <c r="E127" s="24">
        <v>26802</v>
      </c>
      <c r="F127" s="24">
        <v>25366</v>
      </c>
      <c r="G127" s="24">
        <v>25107</v>
      </c>
      <c r="H127" s="24">
        <v>24725</v>
      </c>
      <c r="I127" s="24">
        <v>24398</v>
      </c>
      <c r="J127" s="24">
        <v>24417.5</v>
      </c>
      <c r="K127" s="24">
        <v>24333</v>
      </c>
      <c r="L127" s="24">
        <v>24056</v>
      </c>
      <c r="M127" s="24">
        <v>23936</v>
      </c>
      <c r="N127" s="24">
        <v>24110</v>
      </c>
      <c r="O127" s="24">
        <v>24048</v>
      </c>
      <c r="P127" s="24">
        <v>23605</v>
      </c>
      <c r="Q127" s="24">
        <v>22926</v>
      </c>
      <c r="R127" s="24">
        <f>18448+1184</f>
        <v>19632</v>
      </c>
      <c r="S127" s="24">
        <v>18866</v>
      </c>
      <c r="T127" s="24">
        <v>18202.5</v>
      </c>
      <c r="U127" s="24">
        <v>17913</v>
      </c>
      <c r="V127" s="48">
        <v>16587</v>
      </c>
      <c r="W127" s="24">
        <v>16295</v>
      </c>
      <c r="X127" s="24">
        <v>15959</v>
      </c>
      <c r="Y127" s="24">
        <v>15676</v>
      </c>
      <c r="Z127" s="24">
        <v>15189</v>
      </c>
    </row>
    <row r="128" spans="1:27" x14ac:dyDescent="0.3">
      <c r="A128" s="22"/>
      <c r="B128" s="24"/>
      <c r="C128" s="24"/>
      <c r="D128" s="24"/>
      <c r="E128" s="24"/>
      <c r="F128" s="24"/>
      <c r="G128" s="24"/>
      <c r="H128" s="24"/>
      <c r="I128" s="25"/>
      <c r="J128" s="24"/>
      <c r="K128" s="25"/>
      <c r="L128" s="25"/>
      <c r="M128" s="24"/>
      <c r="N128" s="24"/>
      <c r="O128" s="25"/>
      <c r="P128" s="25"/>
      <c r="Q128" s="24"/>
      <c r="R128" s="24"/>
      <c r="S128" s="24"/>
      <c r="T128" s="24"/>
      <c r="U128" s="24"/>
      <c r="V128" s="48"/>
      <c r="W128" s="24"/>
      <c r="X128" s="24"/>
      <c r="Y128" s="24"/>
      <c r="Z128" s="24"/>
    </row>
    <row r="129" spans="1:27" x14ac:dyDescent="0.3">
      <c r="A129" s="22" t="s">
        <v>90</v>
      </c>
      <c r="B129" s="24">
        <v>2087</v>
      </c>
      <c r="C129" s="24">
        <v>1577</v>
      </c>
      <c r="D129" s="24">
        <v>1036</v>
      </c>
      <c r="E129" s="24">
        <v>512</v>
      </c>
      <c r="F129" s="24">
        <v>1935.86</v>
      </c>
      <c r="G129" s="24">
        <v>1427.1880000000001</v>
      </c>
      <c r="H129" s="24">
        <v>925.8</v>
      </c>
      <c r="I129" s="24">
        <v>450.3</v>
      </c>
      <c r="J129" s="24">
        <v>1402</v>
      </c>
      <c r="K129" s="24">
        <v>973</v>
      </c>
      <c r="L129" s="24">
        <v>589.79999999999995</v>
      </c>
      <c r="M129" s="24">
        <v>278.5</v>
      </c>
      <c r="N129" s="24">
        <v>617</v>
      </c>
      <c r="O129" s="24">
        <v>379</v>
      </c>
      <c r="P129" s="24">
        <v>224</v>
      </c>
      <c r="Q129" s="24">
        <v>101</v>
      </c>
      <c r="R129" s="24">
        <v>289</v>
      </c>
      <c r="S129" s="24">
        <v>204</v>
      </c>
      <c r="T129" s="24">
        <v>136</v>
      </c>
      <c r="U129" s="24">
        <v>69</v>
      </c>
      <c r="V129" s="48">
        <v>375</v>
      </c>
      <c r="W129" s="24">
        <v>309</v>
      </c>
      <c r="X129" s="24">
        <v>243</v>
      </c>
      <c r="Y129" s="24">
        <v>135</v>
      </c>
      <c r="Z129" s="24">
        <v>437</v>
      </c>
    </row>
    <row r="130" spans="1:27" x14ac:dyDescent="0.3">
      <c r="A130" s="32" t="s">
        <v>91</v>
      </c>
      <c r="B130" s="54">
        <v>-1063</v>
      </c>
      <c r="C130" s="54">
        <v>-813</v>
      </c>
      <c r="D130" s="54">
        <v>-534</v>
      </c>
      <c r="E130" s="54">
        <v>-265</v>
      </c>
      <c r="F130" s="54">
        <v>-995.48500000000001</v>
      </c>
      <c r="G130" s="54">
        <v>-735.38599999999997</v>
      </c>
      <c r="H130" s="54">
        <v>-476.38</v>
      </c>
      <c r="I130" s="54">
        <v>-231.6</v>
      </c>
      <c r="J130" s="54">
        <v>-741.5</v>
      </c>
      <c r="K130" s="54">
        <v>-520</v>
      </c>
      <c r="L130" s="54">
        <v>-324</v>
      </c>
      <c r="M130" s="54">
        <v>-155</v>
      </c>
      <c r="N130" s="54">
        <v>-365</v>
      </c>
      <c r="O130" s="54">
        <v>-227</v>
      </c>
      <c r="P130" s="54">
        <v>-137</v>
      </c>
      <c r="Q130" s="54">
        <v>-62.5</v>
      </c>
      <c r="R130" s="54">
        <v>-177</v>
      </c>
      <c r="S130" s="54">
        <v>-126</v>
      </c>
      <c r="T130" s="54">
        <v>-87</v>
      </c>
      <c r="U130" s="54">
        <v>-44</v>
      </c>
      <c r="V130" s="49">
        <v>-234</v>
      </c>
      <c r="W130" s="54">
        <v>-192</v>
      </c>
      <c r="X130" s="54">
        <v>-151</v>
      </c>
      <c r="Y130" s="54">
        <v>-85</v>
      </c>
      <c r="Z130" s="54">
        <v>-268</v>
      </c>
    </row>
    <row r="131" spans="1:27" x14ac:dyDescent="0.3">
      <c r="A131" s="22" t="s">
        <v>92</v>
      </c>
      <c r="B131" s="24">
        <f>+B129+B130</f>
        <v>1024</v>
      </c>
      <c r="C131" s="24">
        <f>+C129+C130</f>
        <v>764</v>
      </c>
      <c r="D131" s="24">
        <f t="shared" ref="D131:I131" si="213">+D129+D130</f>
        <v>502</v>
      </c>
      <c r="E131" s="24">
        <f t="shared" si="213"/>
        <v>247</v>
      </c>
      <c r="F131" s="24">
        <f t="shared" si="213"/>
        <v>940.37499999999989</v>
      </c>
      <c r="G131" s="24">
        <f t="shared" si="213"/>
        <v>691.80200000000013</v>
      </c>
      <c r="H131" s="24">
        <f t="shared" si="213"/>
        <v>449.41999999999996</v>
      </c>
      <c r="I131" s="24">
        <f t="shared" si="213"/>
        <v>218.70000000000002</v>
      </c>
      <c r="J131" s="24">
        <f t="shared" ref="J131" si="214">+J129+J130</f>
        <v>660.5</v>
      </c>
      <c r="K131" s="24">
        <f t="shared" ref="K131:L131" si="215">+K129+K130</f>
        <v>453</v>
      </c>
      <c r="L131" s="24">
        <f t="shared" si="215"/>
        <v>265.79999999999995</v>
      </c>
      <c r="M131" s="24">
        <f t="shared" ref="M131:R131" si="216">+M129+M130</f>
        <v>123.5</v>
      </c>
      <c r="N131" s="24">
        <f t="shared" si="216"/>
        <v>252</v>
      </c>
      <c r="O131" s="24">
        <f t="shared" si="216"/>
        <v>152</v>
      </c>
      <c r="P131" s="24">
        <f t="shared" si="216"/>
        <v>87</v>
      </c>
      <c r="Q131" s="24">
        <f t="shared" si="216"/>
        <v>38.5</v>
      </c>
      <c r="R131" s="24">
        <f t="shared" si="216"/>
        <v>112</v>
      </c>
      <c r="S131" s="24">
        <v>78</v>
      </c>
      <c r="T131" s="24">
        <v>49</v>
      </c>
      <c r="U131" s="24">
        <f t="shared" ref="U131:Z131" si="217">SUM(U129:U130)</f>
        <v>25</v>
      </c>
      <c r="V131" s="24">
        <f t="shared" si="217"/>
        <v>141</v>
      </c>
      <c r="W131" s="24">
        <f t="shared" si="217"/>
        <v>117</v>
      </c>
      <c r="X131" s="24">
        <f t="shared" si="217"/>
        <v>92</v>
      </c>
      <c r="Y131" s="24">
        <f t="shared" si="217"/>
        <v>50</v>
      </c>
      <c r="Z131" s="24">
        <f t="shared" si="217"/>
        <v>169</v>
      </c>
    </row>
    <row r="132" spans="1:27" x14ac:dyDescent="0.3">
      <c r="A132" s="22"/>
      <c r="B132" s="24"/>
      <c r="C132" s="24"/>
      <c r="D132" s="24"/>
      <c r="E132" s="24"/>
      <c r="F132" s="24"/>
      <c r="G132" s="24"/>
      <c r="H132" s="24"/>
      <c r="I132" s="24"/>
      <c r="J132" s="24"/>
      <c r="K132" s="25"/>
      <c r="L132" s="24"/>
      <c r="M132" s="24"/>
      <c r="N132" s="24"/>
      <c r="O132" s="24"/>
      <c r="P132" s="24"/>
      <c r="Q132" s="24"/>
      <c r="R132" s="24"/>
      <c r="S132" s="24"/>
      <c r="T132" s="24"/>
      <c r="U132" s="24"/>
      <c r="V132" s="24"/>
      <c r="W132" s="24"/>
      <c r="X132" s="24"/>
      <c r="Y132" s="24"/>
      <c r="Z132" s="24"/>
    </row>
    <row r="133" spans="1:27" x14ac:dyDescent="0.3">
      <c r="A133" s="32" t="s">
        <v>83</v>
      </c>
      <c r="B133" s="54">
        <f>+B127*B103%*B104/365</f>
        <v>1223.1417999999999</v>
      </c>
      <c r="C133" s="54">
        <f>+C127*C103%*C104/365</f>
        <v>916.65426904109597</v>
      </c>
      <c r="D133" s="54">
        <f>+D127*D103%*D104/365</f>
        <v>612.30405698630136</v>
      </c>
      <c r="E133" s="54">
        <f>+E127*E103%*E104/365</f>
        <v>300.6964109589041</v>
      </c>
      <c r="F133" s="54">
        <f>+F127*F103%*F104/366</f>
        <v>1197.2752</v>
      </c>
      <c r="G133" s="54">
        <f>+G127*G103%*G104/366</f>
        <v>887.16887868852473</v>
      </c>
      <c r="H133" s="54">
        <f>+H127*H103%*H104/366</f>
        <v>580.32142076502726</v>
      </c>
      <c r="I133" s="54">
        <f>+I127*I103%*I104/366</f>
        <v>285.71657868852458</v>
      </c>
      <c r="J133" s="54">
        <f t="shared" ref="J133" si="218">+J127*J103%*J104/365</f>
        <v>1013.3262500000001</v>
      </c>
      <c r="K133" s="54">
        <f t="shared" ref="K133:L133" si="219">+K127*K103%*K104/365</f>
        <v>720.71012712328752</v>
      </c>
      <c r="L133" s="54">
        <f t="shared" si="219"/>
        <v>430.64194410958908</v>
      </c>
      <c r="M133" s="54">
        <f t="shared" ref="M133:R133" si="220">+M127*M103%*M104/365</f>
        <v>196.53751232876715</v>
      </c>
      <c r="N133" s="54">
        <f t="shared" si="220"/>
        <v>491.84400000000005</v>
      </c>
      <c r="O133" s="54">
        <f t="shared" si="220"/>
        <v>291.38269808219184</v>
      </c>
      <c r="P133" s="54">
        <f t="shared" si="220"/>
        <v>146.31866438356164</v>
      </c>
      <c r="Q133" s="49">
        <f t="shared" si="220"/>
        <v>66.139939726027393</v>
      </c>
      <c r="R133" s="49">
        <f t="shared" si="220"/>
        <v>92.270399999999995</v>
      </c>
      <c r="S133" s="49">
        <v>52.20971671232877</v>
      </c>
      <c r="T133" s="49">
        <v>32.495202739726025</v>
      </c>
      <c r="U133" s="49">
        <f>+U127*U103%*U104/365</f>
        <v>20.317758904109589</v>
      </c>
      <c r="V133" s="49">
        <f>+V127*V103%*V104/366</f>
        <v>115.0076232</v>
      </c>
      <c r="W133" s="49">
        <f>+W127*W103%*W104/366</f>
        <v>97.704441564207642</v>
      </c>
      <c r="X133" s="49">
        <f>+X127*X103%*X104/366</f>
        <v>84.174463547540995</v>
      </c>
      <c r="Y133" s="49">
        <f>+Y127*Y103%*Y104/366</f>
        <v>64.543612864480878</v>
      </c>
      <c r="Z133" s="49">
        <f>+Z127*Z103%*Z104/365</f>
        <v>236.07958920000002</v>
      </c>
    </row>
    <row r="134" spans="1:27" x14ac:dyDescent="0.3">
      <c r="A134" s="22" t="s">
        <v>93</v>
      </c>
      <c r="B134" s="60">
        <f t="shared" ref="B134" si="221">+B133-B131</f>
        <v>199.14179999999988</v>
      </c>
      <c r="C134" s="60">
        <f t="shared" ref="C134:H134" si="222">+C133-C131</f>
        <v>152.65426904109597</v>
      </c>
      <c r="D134" s="60">
        <f t="shared" si="222"/>
        <v>110.30405698630136</v>
      </c>
      <c r="E134" s="60">
        <f t="shared" si="222"/>
        <v>53.696410958904096</v>
      </c>
      <c r="F134" s="60">
        <f t="shared" si="222"/>
        <v>256.90020000000015</v>
      </c>
      <c r="G134" s="60">
        <f t="shared" si="222"/>
        <v>195.36687868852459</v>
      </c>
      <c r="H134" s="60">
        <f t="shared" si="222"/>
        <v>130.9014207650273</v>
      </c>
      <c r="I134" s="60">
        <f t="shared" ref="I134:J134" si="223">+I133-I131</f>
        <v>67.016578688524561</v>
      </c>
      <c r="J134" s="60">
        <f t="shared" si="223"/>
        <v>352.82625000000007</v>
      </c>
      <c r="K134" s="60">
        <f t="shared" ref="K134:L134" si="224">+K133-K131</f>
        <v>267.71012712328752</v>
      </c>
      <c r="L134" s="60">
        <f t="shared" si="224"/>
        <v>164.84194410958912</v>
      </c>
      <c r="M134" s="60">
        <f t="shared" ref="M134:R134" si="225">+M133-M131</f>
        <v>73.03751232876715</v>
      </c>
      <c r="N134" s="60">
        <f t="shared" si="225"/>
        <v>239.84400000000005</v>
      </c>
      <c r="O134" s="60">
        <f t="shared" si="225"/>
        <v>139.38269808219184</v>
      </c>
      <c r="P134" s="60">
        <f t="shared" si="225"/>
        <v>59.318664383561639</v>
      </c>
      <c r="Q134" s="63">
        <f t="shared" si="225"/>
        <v>27.639939726027393</v>
      </c>
      <c r="R134" s="48">
        <f t="shared" si="225"/>
        <v>-19.729600000000005</v>
      </c>
      <c r="S134" s="48">
        <v>-25.79028328767123</v>
      </c>
      <c r="T134" s="48">
        <v>-16.504797260273975</v>
      </c>
      <c r="U134" s="48">
        <f t="shared" ref="U134" si="226">+U133-U131</f>
        <v>-4.6822410958904115</v>
      </c>
      <c r="V134" s="48">
        <f>+V133-V131</f>
        <v>-25.992376800000002</v>
      </c>
      <c r="W134" s="48">
        <f t="shared" ref="W134:Z134" si="227">+W133-W131</f>
        <v>-19.295558435792358</v>
      </c>
      <c r="X134" s="48">
        <f t="shared" si="227"/>
        <v>-7.825536452459005</v>
      </c>
      <c r="Y134" s="48">
        <f t="shared" si="227"/>
        <v>14.543612864480878</v>
      </c>
      <c r="Z134" s="48">
        <f t="shared" si="227"/>
        <v>67.079589200000015</v>
      </c>
    </row>
    <row r="135" spans="1:27" s="3" customFormat="1" ht="15" thickBot="1" x14ac:dyDescent="0.35">
      <c r="A135" s="14" t="s">
        <v>94</v>
      </c>
      <c r="B135" s="20">
        <f>+B134*(365/B104)/B127</f>
        <v>7.1474337807766802E-3</v>
      </c>
      <c r="C135" s="20">
        <f>+C134*(365/C104)/C127</f>
        <v>7.427424525448474E-3</v>
      </c>
      <c r="D135" s="20">
        <f>+D134*(365/D104)/D127</f>
        <v>8.214652411959884E-3</v>
      </c>
      <c r="E135" s="20">
        <f>+E134*(365/E104)/E127</f>
        <v>8.1250943130280456E-3</v>
      </c>
      <c r="F135" s="20">
        <f t="shared" ref="F135:I135" si="228">+F134*(366/F104)/F127</f>
        <v>1.012773791689664E-2</v>
      </c>
      <c r="G135" s="20">
        <f t="shared" si="228"/>
        <v>1.039409394942929E-2</v>
      </c>
      <c r="H135" s="20">
        <f t="shared" si="228"/>
        <v>1.0646767186302067E-2</v>
      </c>
      <c r="I135" s="20">
        <f t="shared" si="228"/>
        <v>1.1047594335331029E-2</v>
      </c>
      <c r="J135" s="20">
        <f t="shared" ref="J135" si="229">+J134*(365/J104)/J127</f>
        <v>1.4449728678202113E-2</v>
      </c>
      <c r="K135" s="20">
        <f t="shared" ref="K135:L135" si="230">+K134*(365/K104)/K127</f>
        <v>1.4709549144809894E-2</v>
      </c>
      <c r="L135" s="20">
        <f t="shared" si="230"/>
        <v>1.381842680155145E-2</v>
      </c>
      <c r="M135" s="20">
        <f t="shared" ref="M135:R135" si="231">+M134*(365/M104)/M127</f>
        <v>1.2374987002376712E-2</v>
      </c>
      <c r="N135" s="20">
        <f t="shared" si="231"/>
        <v>9.9479054334301147E-3</v>
      </c>
      <c r="O135" s="20">
        <f t="shared" si="231"/>
        <v>7.7492580163238869E-3</v>
      </c>
      <c r="P135" s="20">
        <f t="shared" si="231"/>
        <v>5.0675920800560791E-3</v>
      </c>
      <c r="Q135" s="20">
        <f t="shared" si="231"/>
        <v>4.8894404218403163E-3</v>
      </c>
      <c r="R135" s="20">
        <f t="shared" si="231"/>
        <v>-1.0049714751426246E-3</v>
      </c>
      <c r="S135" s="20">
        <v>-1.8277066832245456E-3</v>
      </c>
      <c r="T135" s="20">
        <v>-1.8284935968209096E-3</v>
      </c>
      <c r="U135" s="20">
        <f>+U134*(365/U104)/U127</f>
        <v>-1.0600730692172662E-3</v>
      </c>
      <c r="V135" s="20">
        <f>+V134*(366/V104)/V127</f>
        <v>-1.5670330258636283E-3</v>
      </c>
      <c r="W135" s="20">
        <f>+W134*(366/W104)/W127</f>
        <v>-1.5759824569723012E-3</v>
      </c>
      <c r="X135" s="20">
        <f>+X134*(366/X104)/X127</f>
        <v>-9.8609360304461355E-4</v>
      </c>
      <c r="Y135" s="20">
        <f>+Y134*(366/Y104)/Y127</f>
        <v>3.7314424152270292E-3</v>
      </c>
      <c r="Z135" s="20">
        <f>+Z134*(365/Z104)/Z127</f>
        <v>4.416326894463099E-3</v>
      </c>
      <c r="AA135"/>
    </row>
    <row r="136" spans="1:27" x14ac:dyDescent="0.3">
      <c r="A136" s="22"/>
      <c r="B136" s="65"/>
      <c r="C136" s="65"/>
      <c r="D136" s="65"/>
      <c r="E136" s="65"/>
      <c r="F136" s="65"/>
      <c r="G136" s="65"/>
      <c r="H136" s="65"/>
      <c r="I136" s="33"/>
      <c r="J136" s="33"/>
      <c r="K136" s="33"/>
      <c r="L136" s="33"/>
      <c r="M136" s="33"/>
      <c r="N136" s="65"/>
      <c r="O136" s="65"/>
      <c r="P136" s="65"/>
      <c r="Q136" s="38"/>
      <c r="R136" s="38"/>
      <c r="S136" s="38"/>
      <c r="T136" s="38"/>
      <c r="U136" s="38"/>
      <c r="V136" s="38"/>
      <c r="W136" s="33"/>
      <c r="X136" s="33"/>
      <c r="Y136" s="33"/>
      <c r="Z136" s="33"/>
    </row>
    <row r="137" spans="1:27" x14ac:dyDescent="0.3">
      <c r="A137" s="22"/>
      <c r="B137" s="33"/>
      <c r="C137" s="33"/>
      <c r="D137" s="33"/>
      <c r="E137" s="33"/>
      <c r="F137" s="65"/>
      <c r="G137" s="65"/>
      <c r="H137" s="65"/>
      <c r="I137" s="65"/>
      <c r="J137" s="65"/>
      <c r="K137" s="65"/>
      <c r="L137" s="65"/>
      <c r="M137" s="65"/>
      <c r="N137" s="65"/>
      <c r="O137" s="65"/>
      <c r="P137" s="65"/>
      <c r="Q137" s="38"/>
      <c r="R137" s="38"/>
      <c r="S137" s="38"/>
      <c r="T137" s="38"/>
      <c r="U137" s="38"/>
      <c r="V137" s="38"/>
      <c r="W137" s="33"/>
      <c r="X137" s="33"/>
      <c r="Y137" s="33"/>
      <c r="Z137" s="33"/>
    </row>
  </sheetData>
  <pageMargins left="0.7" right="0.7" top="0.75" bottom="0.75" header="0.3" footer="0.3"/>
  <pageSetup paperSize="9" orientation="portrait" r:id="rId1"/>
  <ignoredErrors>
    <ignoredError sqref="V23:Y2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1216D2022DB214AAA019696ABE7AE17" ma:contentTypeVersion="6" ma:contentTypeDescription="Create a new document." ma:contentTypeScope="" ma:versionID="7b3d252ee79533ca23ca3baa9c28fb2b">
  <xsd:schema xmlns:xsd="http://www.w3.org/2001/XMLSchema" xmlns:xs="http://www.w3.org/2001/XMLSchema" xmlns:p="http://schemas.microsoft.com/office/2006/metadata/properties" xmlns:ns2="702e69e7-f054-4607-82df-354939e193fc" xmlns:ns3="a9d4ce23-1662-4471-8027-8aa1ff42a8e3" targetNamespace="http://schemas.microsoft.com/office/2006/metadata/properties" ma:root="true" ma:fieldsID="e8a8f4ae4199523eb1e1cc65e9e2731b" ns2:_="" ns3:_="">
    <xsd:import namespace="702e69e7-f054-4607-82df-354939e193fc"/>
    <xsd:import namespace="a9d4ce23-1662-4471-8027-8aa1ff42a8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e69e7-f054-4607-82df-354939e193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d4ce23-1662-4471-8027-8aa1ff42a8e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A69B47-8109-419D-9DA7-32C86C4FB97F}">
  <ds:schemaRefs>
    <ds:schemaRef ds:uri="http://schemas.microsoft.com/office/2006/documentManagement/types"/>
    <ds:schemaRef ds:uri="http://purl.org/dc/terms/"/>
    <ds:schemaRef ds:uri="702e69e7-f054-4607-82df-354939e193fc"/>
    <ds:schemaRef ds:uri="a9d4ce23-1662-4471-8027-8aa1ff42a8e3"/>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DD8A3CBE-E7CA-43F7-9994-51BE4609B6F8}">
  <ds:schemaRefs>
    <ds:schemaRef ds:uri="http://schemas.microsoft.com/sharepoint/v3/contenttype/forms"/>
  </ds:schemaRefs>
</ds:datastoreItem>
</file>

<file path=customXml/itemProps3.xml><?xml version="1.0" encoding="utf-8"?>
<ds:datastoreItem xmlns:ds="http://schemas.openxmlformats.org/officeDocument/2006/customXml" ds:itemID="{3145CC9A-8347-4A45-A610-C41D871429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2e69e7-f054-4607-82df-354939e193fc"/>
    <ds:schemaRef ds:uri="a9d4ce23-1662-4471-8027-8aa1ff42a8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APM definisjoner</vt:lpstr>
      <vt:lpstr>APM utregning</vt:lpstr>
      <vt:lpstr>'APM definisjoner'!Utskriftsområde</vt:lpstr>
      <vt:lpstr>'APM utregning'!Utskriftsområde</vt:lpstr>
    </vt:vector>
  </TitlesOfParts>
  <Manager/>
  <Company>SpareBank1 Alliansen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mona.selnes@bnbank.no</dc:creator>
  <cp:keywords/>
  <dc:description/>
  <cp:lastModifiedBy>Mona Horneberg Selnæs</cp:lastModifiedBy>
  <cp:revision/>
  <dcterms:created xsi:type="dcterms:W3CDTF">2017-08-15T12:23:16Z</dcterms:created>
  <dcterms:modified xsi:type="dcterms:W3CDTF">2026-02-06T09:16:52Z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iteId">
    <vt:lpwstr>156b047c-a56e-40a2-9f11-b69d58cf5508</vt:lpwstr>
  </property>
  <property fmtid="{D5CDD505-2E9C-101B-9397-08002B2CF9AE}" pid="4" name="MSIP_Label_e6624104-c6e2-47da-a556-f8167ffa8312_Owner">
    <vt:lpwstr>Cathrine.Aunvik@smn.no</vt:lpwstr>
  </property>
  <property fmtid="{D5CDD505-2E9C-101B-9397-08002B2CF9AE}" pid="5" name="MSIP_Label_e6624104-c6e2-47da-a556-f8167ffa8312_SetDate">
    <vt:lpwstr>2020-07-21T14:25:47.4261643Z</vt:lpwstr>
  </property>
  <property fmtid="{D5CDD505-2E9C-101B-9397-08002B2CF9AE}" pid="6" name="MSIP_Label_e6624104-c6e2-47da-a556-f8167ffa8312_Name">
    <vt:lpwstr>Fortrolig</vt:lpwstr>
  </property>
  <property fmtid="{D5CDD505-2E9C-101B-9397-08002B2CF9AE}" pid="7" name="MSIP_Label_e6624104-c6e2-47da-a556-f8167ffa8312_Application">
    <vt:lpwstr>Microsoft Azure Information Protection</vt:lpwstr>
  </property>
  <property fmtid="{D5CDD505-2E9C-101B-9397-08002B2CF9AE}" pid="8" name="MSIP_Label_e6624104-c6e2-47da-a556-f8167ffa8312_ActionId">
    <vt:lpwstr>e0232c76-87ac-4e56-9012-794c95971c69</vt:lpwstr>
  </property>
  <property fmtid="{D5CDD505-2E9C-101B-9397-08002B2CF9AE}" pid="9" name="MSIP_Label_e6624104-c6e2-47da-a556-f8167ffa8312_Extended_MSFT_Method">
    <vt:lpwstr>Manual</vt:lpwstr>
  </property>
  <property fmtid="{D5CDD505-2E9C-101B-9397-08002B2CF9AE}" pid="10" name="ContentTypeId">
    <vt:lpwstr>0x010100B1216D2022DB214AAA019696ABE7AE17</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