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REGNRAPP\R2025\Q3 2025\Revisor\"/>
    </mc:Choice>
  </mc:AlternateContent>
  <xr:revisionPtr revIDLastSave="0" documentId="8_{946E8307-EFD4-42F0-AB5A-BE9B1884114F}" xr6:coauthVersionLast="47" xr6:coauthVersionMax="47" xr10:uidLastSave="{00000000-0000-0000-0000-000000000000}"/>
  <bookViews>
    <workbookView xWindow="3840" yWindow="3840" windowWidth="30960" windowHeight="1212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utregning'!$A$1:$Y$136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1" i="2" l="1"/>
  <c r="B30" i="2" l="1"/>
  <c r="B81" i="2"/>
  <c r="B23" i="2"/>
  <c r="B20" i="2"/>
  <c r="B10" i="2" l="1"/>
  <c r="B6" i="2"/>
  <c r="B14" i="2" s="1"/>
  <c r="B133" i="2"/>
  <c r="B122" i="2"/>
  <c r="B110" i="2"/>
  <c r="B98" i="2"/>
  <c r="B91" i="2"/>
  <c r="B93" i="2" s="1"/>
  <c r="B87" i="2"/>
  <c r="B88" i="2" s="1"/>
  <c r="B73" i="2"/>
  <c r="B59" i="2"/>
  <c r="B55" i="2"/>
  <c r="B48" i="2"/>
  <c r="B75" i="2" s="1"/>
  <c r="B42" i="2"/>
  <c r="B43" i="2" s="1"/>
  <c r="B45" i="2" s="1"/>
  <c r="B38" i="2"/>
  <c r="B32" i="2"/>
  <c r="B33" i="2" s="1"/>
  <c r="B25" i="2"/>
  <c r="B134" i="2" l="1"/>
  <c r="B135" i="2" s="1"/>
  <c r="B111" i="2"/>
  <c r="B112" i="2" s="1"/>
  <c r="B123" i="2"/>
  <c r="B124" i="2" s="1"/>
  <c r="B62" i="2"/>
  <c r="B65" i="2" s="1"/>
  <c r="C81" i="2"/>
  <c r="C23" i="2"/>
  <c r="C20" i="2"/>
  <c r="C133" i="2"/>
  <c r="C131" i="2"/>
  <c r="C122" i="2"/>
  <c r="C123" i="2" s="1"/>
  <c r="C124" i="2" s="1"/>
  <c r="C110" i="2"/>
  <c r="C98" i="2"/>
  <c r="C91" i="2"/>
  <c r="C93" i="2" s="1"/>
  <c r="C87" i="2"/>
  <c r="C88" i="2" s="1"/>
  <c r="C73" i="2"/>
  <c r="C59" i="2"/>
  <c r="C55" i="2"/>
  <c r="C48" i="2"/>
  <c r="C75" i="2" s="1"/>
  <c r="C42" i="2"/>
  <c r="C43" i="2" s="1"/>
  <c r="C45" i="2" s="1"/>
  <c r="C38" i="2"/>
  <c r="C30" i="2"/>
  <c r="C32" i="2" s="1"/>
  <c r="C33" i="2" s="1"/>
  <c r="C10" i="2"/>
  <c r="C6" i="2"/>
  <c r="C14" i="2" s="1"/>
  <c r="B99" i="2" l="1"/>
  <c r="B100" i="2" s="1"/>
  <c r="B72" i="2"/>
  <c r="C134" i="2"/>
  <c r="C135" i="2" s="1"/>
  <c r="C111" i="2"/>
  <c r="C112" i="2" s="1"/>
  <c r="C25" i="2"/>
  <c r="C62" i="2"/>
  <c r="C65" i="2" s="1"/>
  <c r="D133" i="2"/>
  <c r="D110" i="2"/>
  <c r="B74" i="2" l="1"/>
  <c r="B76" i="2" s="1"/>
  <c r="C99" i="2"/>
  <c r="C100" i="2" s="1"/>
  <c r="C72" i="2"/>
  <c r="D81" i="2"/>
  <c r="D42" i="2"/>
  <c r="D43" i="2" s="1"/>
  <c r="D45" i="2" s="1"/>
  <c r="D23" i="2"/>
  <c r="D20" i="2"/>
  <c r="D25" i="2"/>
  <c r="D131" i="2"/>
  <c r="D122" i="2"/>
  <c r="D98" i="2"/>
  <c r="D91" i="2"/>
  <c r="D93" i="2" s="1"/>
  <c r="D87" i="2"/>
  <c r="D88" i="2" s="1"/>
  <c r="D73" i="2"/>
  <c r="D59" i="2"/>
  <c r="D55" i="2"/>
  <c r="D48" i="2"/>
  <c r="D38" i="2"/>
  <c r="D30" i="2"/>
  <c r="D32" i="2" s="1"/>
  <c r="D33" i="2" s="1"/>
  <c r="D10" i="2"/>
  <c r="D6" i="2"/>
  <c r="D14" i="2" s="1"/>
  <c r="C74" i="2" l="1"/>
  <c r="C76" i="2" s="1"/>
  <c r="D75" i="2"/>
  <c r="D123" i="2"/>
  <c r="D124" i="2" s="1"/>
  <c r="D111" i="2"/>
  <c r="D112" i="2" s="1"/>
  <c r="D134" i="2"/>
  <c r="D135" i="2" s="1"/>
  <c r="D62" i="2"/>
  <c r="D65" i="2" s="1"/>
  <c r="D99" i="2" l="1"/>
  <c r="D100" i="2" s="1"/>
  <c r="D72" i="2"/>
  <c r="E48" i="2"/>
  <c r="E75" i="2" s="1"/>
  <c r="E133" i="2"/>
  <c r="E122" i="2"/>
  <c r="E110" i="2"/>
  <c r="E111" i="2" s="1"/>
  <c r="E112" i="2" s="1"/>
  <c r="E98" i="2"/>
  <c r="E91" i="2"/>
  <c r="E93" i="2" s="1"/>
  <c r="E87" i="2"/>
  <c r="E88" i="2" s="1"/>
  <c r="E81" i="2"/>
  <c r="E73" i="2"/>
  <c r="E59" i="2"/>
  <c r="E55" i="2"/>
  <c r="B56" i="2" s="1"/>
  <c r="E42" i="2"/>
  <c r="E43" i="2" s="1"/>
  <c r="E45" i="2" s="1"/>
  <c r="E38" i="2"/>
  <c r="E30" i="2"/>
  <c r="E32" i="2" s="1"/>
  <c r="E33" i="2" s="1"/>
  <c r="E23" i="2"/>
  <c r="E20" i="2"/>
  <c r="E131" i="2"/>
  <c r="E10" i="2"/>
  <c r="B12" i="2" s="1"/>
  <c r="B15" i="2" s="1"/>
  <c r="B16" i="2" s="1"/>
  <c r="E6" i="2"/>
  <c r="E14" i="2" s="1"/>
  <c r="C82" i="2" l="1"/>
  <c r="C83" i="2" s="1"/>
  <c r="B82" i="2"/>
  <c r="B83" i="2" s="1"/>
  <c r="D12" i="2"/>
  <c r="D15" i="2" s="1"/>
  <c r="D16" i="2" s="1"/>
  <c r="C12" i="2"/>
  <c r="C15" i="2" s="1"/>
  <c r="C16" i="2" s="1"/>
  <c r="D56" i="2"/>
  <c r="C56" i="2"/>
  <c r="E62" i="2"/>
  <c r="E65" i="2" s="1"/>
  <c r="E72" i="2" s="1"/>
  <c r="D82" i="2"/>
  <c r="D83" i="2" s="1"/>
  <c r="D74" i="2"/>
  <c r="D76" i="2" s="1"/>
  <c r="E123" i="2"/>
  <c r="E124" i="2" s="1"/>
  <c r="E99" i="2"/>
  <c r="E100" i="2" s="1"/>
  <c r="E25" i="2"/>
  <c r="E134" i="2"/>
  <c r="E135" i="2" s="1"/>
  <c r="D94" i="2" l="1"/>
  <c r="D95" i="2" s="1"/>
  <c r="E74" i="2"/>
  <c r="E76" i="2" s="1"/>
  <c r="B94" i="2"/>
  <c r="B95" i="2" s="1"/>
  <c r="C94" i="2"/>
  <c r="C95" i="2" s="1"/>
  <c r="F81" i="2"/>
  <c r="F30" i="2"/>
  <c r="F32" i="2" s="1"/>
  <c r="F33" i="2" s="1"/>
  <c r="F23" i="2"/>
  <c r="F20" i="2"/>
  <c r="F133" i="2"/>
  <c r="F131" i="2"/>
  <c r="F122" i="2"/>
  <c r="F123" i="2" s="1"/>
  <c r="F124" i="2" s="1"/>
  <c r="F110" i="2"/>
  <c r="F98" i="2"/>
  <c r="F91" i="2"/>
  <c r="F93" i="2" s="1"/>
  <c r="F87" i="2"/>
  <c r="F88" i="2" s="1"/>
  <c r="F73" i="2"/>
  <c r="F59" i="2"/>
  <c r="F55" i="2"/>
  <c r="F48" i="2"/>
  <c r="B49" i="2" s="1"/>
  <c r="B50" i="2" s="1"/>
  <c r="B52" i="2" s="1"/>
  <c r="F42" i="2"/>
  <c r="F43" i="2" s="1"/>
  <c r="F45" i="2" s="1"/>
  <c r="F38" i="2"/>
  <c r="F10" i="2"/>
  <c r="F6" i="2"/>
  <c r="F14" i="2" s="1"/>
  <c r="F62" i="2" l="1"/>
  <c r="F65" i="2" s="1"/>
  <c r="B66" i="2" s="1"/>
  <c r="F111" i="2"/>
  <c r="F112" i="2" s="1"/>
  <c r="F25" i="2"/>
  <c r="F134" i="2"/>
  <c r="F135" i="2" s="1"/>
  <c r="F99" i="2"/>
  <c r="F100" i="2" s="1"/>
  <c r="F72" i="2"/>
  <c r="F75" i="2"/>
  <c r="B68" i="2" l="1"/>
  <c r="B67" i="2"/>
  <c r="B69" i="2" s="1"/>
  <c r="F74" i="2"/>
  <c r="F76" i="2" s="1"/>
  <c r="G133" i="2" l="1"/>
  <c r="G81" i="2" l="1"/>
  <c r="G23" i="2"/>
  <c r="G20" i="2"/>
  <c r="G131" i="2" l="1"/>
  <c r="G134" i="2" s="1"/>
  <c r="G135" i="2" s="1"/>
  <c r="G122" i="2"/>
  <c r="G123" i="2" s="1"/>
  <c r="G124" i="2" s="1"/>
  <c r="G110" i="2"/>
  <c r="G98" i="2"/>
  <c r="G91" i="2"/>
  <c r="G93" i="2" s="1"/>
  <c r="G87" i="2"/>
  <c r="G88" i="2" s="1"/>
  <c r="G73" i="2"/>
  <c r="G59" i="2"/>
  <c r="G55" i="2"/>
  <c r="G49" i="2"/>
  <c r="G48" i="2"/>
  <c r="G42" i="2"/>
  <c r="G43" i="2" s="1"/>
  <c r="G45" i="2" s="1"/>
  <c r="G38" i="2"/>
  <c r="G30" i="2"/>
  <c r="G32" i="2" s="1"/>
  <c r="G33" i="2" s="1"/>
  <c r="G25" i="2"/>
  <c r="G10" i="2"/>
  <c r="G6" i="2"/>
  <c r="G14" i="2" s="1"/>
  <c r="H131" i="2"/>
  <c r="G75" i="2" l="1"/>
  <c r="C49" i="2"/>
  <c r="C50" i="2" s="1"/>
  <c r="C52" i="2" s="1"/>
  <c r="G111" i="2"/>
  <c r="G112" i="2" s="1"/>
  <c r="G62" i="2"/>
  <c r="G65" i="2" s="1"/>
  <c r="C66" i="2" s="1"/>
  <c r="G50" i="2"/>
  <c r="G52" i="2" s="1"/>
  <c r="H133" i="2"/>
  <c r="H110" i="2"/>
  <c r="H122" i="2"/>
  <c r="H123" i="2" s="1"/>
  <c r="H124" i="2" s="1"/>
  <c r="H81" i="2"/>
  <c r="H30" i="2"/>
  <c r="H32" i="2" s="1"/>
  <c r="H33" i="2" s="1"/>
  <c r="H20" i="2"/>
  <c r="H23" i="2"/>
  <c r="H98" i="2"/>
  <c r="H91" i="2"/>
  <c r="H93" i="2" s="1"/>
  <c r="H87" i="2"/>
  <c r="H88" i="2" s="1"/>
  <c r="H73" i="2"/>
  <c r="H59" i="2"/>
  <c r="H55" i="2"/>
  <c r="H49" i="2"/>
  <c r="H48" i="2"/>
  <c r="H42" i="2"/>
  <c r="H43" i="2" s="1"/>
  <c r="H45" i="2" s="1"/>
  <c r="H38" i="2"/>
  <c r="H10" i="2"/>
  <c r="H6" i="2"/>
  <c r="H14" i="2" s="1"/>
  <c r="C68" i="2" l="1"/>
  <c r="C67" i="2"/>
  <c r="C69" i="2" s="1"/>
  <c r="H75" i="2"/>
  <c r="D49" i="2"/>
  <c r="D50" i="2" s="1"/>
  <c r="D52" i="2" s="1"/>
  <c r="G99" i="2"/>
  <c r="G100" i="2" s="1"/>
  <c r="G72" i="2"/>
  <c r="H134" i="2"/>
  <c r="H135" i="2" s="1"/>
  <c r="H111" i="2"/>
  <c r="H112" i="2" s="1"/>
  <c r="H25" i="2"/>
  <c r="H62" i="2"/>
  <c r="H65" i="2" s="1"/>
  <c r="D66" i="2" s="1"/>
  <c r="H50" i="2"/>
  <c r="H52" i="2" s="1"/>
  <c r="D68" i="2" l="1"/>
  <c r="D67" i="2"/>
  <c r="D69" i="2" s="1"/>
  <c r="G74" i="2"/>
  <c r="G76" i="2" s="1"/>
  <c r="H99" i="2"/>
  <c r="H100" i="2" s="1"/>
  <c r="H72" i="2"/>
  <c r="I81" i="2"/>
  <c r="H74" i="2" l="1"/>
  <c r="H76" i="2" s="1"/>
  <c r="I23" i="2"/>
  <c r="I20" i="2"/>
  <c r="I133" i="2"/>
  <c r="I131" i="2"/>
  <c r="I122" i="2"/>
  <c r="I110" i="2"/>
  <c r="I98" i="2"/>
  <c r="I91" i="2"/>
  <c r="I93" i="2" s="1"/>
  <c r="I87" i="2"/>
  <c r="I88" i="2" s="1"/>
  <c r="I73" i="2"/>
  <c r="I59" i="2"/>
  <c r="I55" i="2"/>
  <c r="I49" i="2"/>
  <c r="I48" i="2"/>
  <c r="I42" i="2"/>
  <c r="I43" i="2" s="1"/>
  <c r="I45" i="2" s="1"/>
  <c r="I38" i="2"/>
  <c r="I30" i="2"/>
  <c r="I32" i="2" s="1"/>
  <c r="I33" i="2" s="1"/>
  <c r="I10" i="2"/>
  <c r="I6" i="2"/>
  <c r="I14" i="2" s="1"/>
  <c r="F56" i="2" l="1"/>
  <c r="E56" i="2"/>
  <c r="F12" i="2"/>
  <c r="F15" i="2" s="1"/>
  <c r="F16" i="2" s="1"/>
  <c r="E12" i="2"/>
  <c r="E15" i="2" s="1"/>
  <c r="E16" i="2" s="1"/>
  <c r="F82" i="2"/>
  <c r="F83" i="2" s="1"/>
  <c r="E82" i="2"/>
  <c r="E83" i="2" s="1"/>
  <c r="I75" i="2"/>
  <c r="E49" i="2"/>
  <c r="E50" i="2" s="1"/>
  <c r="E52" i="2" s="1"/>
  <c r="H12" i="2"/>
  <c r="H15" i="2" s="1"/>
  <c r="H16" i="2" s="1"/>
  <c r="G12" i="2"/>
  <c r="G15" i="2" s="1"/>
  <c r="G16" i="2" s="1"/>
  <c r="H56" i="2"/>
  <c r="G56" i="2"/>
  <c r="H82" i="2"/>
  <c r="H83" i="2" s="1"/>
  <c r="G82" i="2"/>
  <c r="G83" i="2" s="1"/>
  <c r="I62" i="2"/>
  <c r="I65" i="2" s="1"/>
  <c r="I134" i="2"/>
  <c r="I135" i="2" s="1"/>
  <c r="I111" i="2"/>
  <c r="I112" i="2" s="1"/>
  <c r="I123" i="2"/>
  <c r="I124" i="2" s="1"/>
  <c r="I50" i="2"/>
  <c r="I52" i="2" s="1"/>
  <c r="I25" i="2"/>
  <c r="J48" i="2"/>
  <c r="F49" i="2" s="1"/>
  <c r="F50" i="2" s="1"/>
  <c r="F52" i="2" s="1"/>
  <c r="I72" i="2" l="1"/>
  <c r="E66" i="2"/>
  <c r="I99" i="2"/>
  <c r="I100" i="2" s="1"/>
  <c r="J91" i="2"/>
  <c r="J93" i="2" s="1"/>
  <c r="J81" i="2"/>
  <c r="J23" i="2"/>
  <c r="J20" i="2"/>
  <c r="J133" i="2"/>
  <c r="J131" i="2"/>
  <c r="J122" i="2"/>
  <c r="J123" i="2" s="1"/>
  <c r="J124" i="2" s="1"/>
  <c r="J110" i="2"/>
  <c r="J98" i="2"/>
  <c r="J87" i="2"/>
  <c r="J88" i="2" s="1"/>
  <c r="J75" i="2"/>
  <c r="J73" i="2"/>
  <c r="J59" i="2"/>
  <c r="J55" i="2"/>
  <c r="J42" i="2"/>
  <c r="J43" i="2" s="1"/>
  <c r="J45" i="2" s="1"/>
  <c r="J38" i="2"/>
  <c r="J30" i="2"/>
  <c r="J32" i="2" s="1"/>
  <c r="J33" i="2" s="1"/>
  <c r="J10" i="2"/>
  <c r="J6" i="2"/>
  <c r="J14" i="2" s="1"/>
  <c r="F94" i="2" l="1"/>
  <c r="F95" i="2" s="1"/>
  <c r="E94" i="2"/>
  <c r="E95" i="2" s="1"/>
  <c r="G94" i="2"/>
  <c r="G95" i="2" s="1"/>
  <c r="I74" i="2"/>
  <c r="I76" i="2" s="1"/>
  <c r="H94" i="2"/>
  <c r="H95" i="2" s="1"/>
  <c r="E68" i="2"/>
  <c r="E67" i="2"/>
  <c r="E69" i="2" s="1"/>
  <c r="J62" i="2"/>
  <c r="J65" i="2" s="1"/>
  <c r="F66" i="2" s="1"/>
  <c r="J134" i="2"/>
  <c r="J135" i="2" s="1"/>
  <c r="J111" i="2"/>
  <c r="J112" i="2" s="1"/>
  <c r="J25" i="2"/>
  <c r="K81" i="2"/>
  <c r="K23" i="2"/>
  <c r="K20" i="2"/>
  <c r="J72" i="2" l="1"/>
  <c r="J99" i="2"/>
  <c r="J100" i="2" s="1"/>
  <c r="F68" i="2"/>
  <c r="F67" i="2"/>
  <c r="J74" i="2"/>
  <c r="J76" i="2" s="1"/>
  <c r="K10" i="2"/>
  <c r="K6" i="2"/>
  <c r="K14" i="2" s="1"/>
  <c r="K133" i="2"/>
  <c r="K131" i="2"/>
  <c r="K122" i="2"/>
  <c r="K123" i="2" s="1"/>
  <c r="K124" i="2" s="1"/>
  <c r="K110" i="2"/>
  <c r="K111" i="2" s="1"/>
  <c r="K112" i="2" s="1"/>
  <c r="K98" i="2"/>
  <c r="K91" i="2"/>
  <c r="K93" i="2" s="1"/>
  <c r="K87" i="2"/>
  <c r="K88" i="2" s="1"/>
  <c r="K75" i="2"/>
  <c r="K73" i="2"/>
  <c r="K59" i="2"/>
  <c r="K55" i="2"/>
  <c r="K42" i="2"/>
  <c r="K43" i="2" s="1"/>
  <c r="K45" i="2" s="1"/>
  <c r="K38" i="2"/>
  <c r="K30" i="2"/>
  <c r="K32" i="2" s="1"/>
  <c r="K33" i="2" s="1"/>
  <c r="K25" i="2"/>
  <c r="L81" i="2"/>
  <c r="L23" i="2"/>
  <c r="L20" i="2"/>
  <c r="L133" i="2"/>
  <c r="L131" i="2"/>
  <c r="L122" i="2"/>
  <c r="L123" i="2" s="1"/>
  <c r="L124" i="2" s="1"/>
  <c r="L110" i="2"/>
  <c r="L111" i="2" s="1"/>
  <c r="L112" i="2" s="1"/>
  <c r="L98" i="2"/>
  <c r="L91" i="2"/>
  <c r="L93" i="2" s="1"/>
  <c r="L87" i="2"/>
  <c r="L88" i="2" s="1"/>
  <c r="L75" i="2"/>
  <c r="L73" i="2"/>
  <c r="L59" i="2"/>
  <c r="L62" i="2" s="1"/>
  <c r="L65" i="2" s="1"/>
  <c r="H66" i="2" s="1"/>
  <c r="L55" i="2"/>
  <c r="L42" i="2"/>
  <c r="L43" i="2" s="1"/>
  <c r="L45" i="2" s="1"/>
  <c r="L38" i="2"/>
  <c r="L30" i="2"/>
  <c r="L32" i="2" s="1"/>
  <c r="L10" i="2"/>
  <c r="L6" i="2"/>
  <c r="L14" i="2" s="1"/>
  <c r="F69" i="2" l="1"/>
  <c r="H68" i="2"/>
  <c r="H67" i="2"/>
  <c r="K134" i="2"/>
  <c r="K135" i="2" s="1"/>
  <c r="K62" i="2"/>
  <c r="K65" i="2" s="1"/>
  <c r="L134" i="2"/>
  <c r="L135" i="2" s="1"/>
  <c r="L25" i="2"/>
  <c r="L33" i="2"/>
  <c r="L99" i="2"/>
  <c r="L100" i="2" s="1"/>
  <c r="L72" i="2"/>
  <c r="H69" i="2" l="1"/>
  <c r="K99" i="2"/>
  <c r="K100" i="2" s="1"/>
  <c r="G66" i="2"/>
  <c r="K72" i="2"/>
  <c r="L74" i="2"/>
  <c r="L76" i="2" s="1"/>
  <c r="N98" i="2"/>
  <c r="O98" i="2"/>
  <c r="P98" i="2"/>
  <c r="Q98" i="2"/>
  <c r="R98" i="2"/>
  <c r="S98" i="2"/>
  <c r="T98" i="2"/>
  <c r="T100" i="2" s="1"/>
  <c r="U98" i="2"/>
  <c r="V98" i="2"/>
  <c r="W98" i="2"/>
  <c r="X98" i="2"/>
  <c r="Y98" i="2"/>
  <c r="M98" i="2"/>
  <c r="T88" i="2"/>
  <c r="M87" i="2"/>
  <c r="M88" i="2" s="1"/>
  <c r="N87" i="2"/>
  <c r="N88" i="2" s="1"/>
  <c r="O87" i="2"/>
  <c r="O88" i="2" s="1"/>
  <c r="P87" i="2"/>
  <c r="P88" i="2" s="1"/>
  <c r="Q87" i="2"/>
  <c r="Q88" i="2" s="1"/>
  <c r="U87" i="2"/>
  <c r="U88" i="2" s="1"/>
  <c r="V87" i="2"/>
  <c r="V88" i="2" s="1"/>
  <c r="W87" i="2"/>
  <c r="W88" i="2" s="1"/>
  <c r="X87" i="2"/>
  <c r="X88" i="2" s="1"/>
  <c r="Y87" i="2"/>
  <c r="Y88" i="2" s="1"/>
  <c r="M30" i="2"/>
  <c r="M81" i="2"/>
  <c r="M23" i="2"/>
  <c r="M20" i="2"/>
  <c r="G68" i="2" l="1"/>
  <c r="G67" i="2"/>
  <c r="K74" i="2"/>
  <c r="K76" i="2" s="1"/>
  <c r="M133" i="2"/>
  <c r="M131" i="2"/>
  <c r="M122" i="2"/>
  <c r="M123" i="2" s="1"/>
  <c r="M124" i="2" s="1"/>
  <c r="M110" i="2"/>
  <c r="M111" i="2" s="1"/>
  <c r="M112" i="2" s="1"/>
  <c r="M91" i="2"/>
  <c r="M93" i="2" s="1"/>
  <c r="M73" i="2"/>
  <c r="M59" i="2"/>
  <c r="I82" i="2" s="1"/>
  <c r="I83" i="2" s="1"/>
  <c r="M55" i="2"/>
  <c r="M42" i="2"/>
  <c r="M43" i="2" s="1"/>
  <c r="M45" i="2" s="1"/>
  <c r="M38" i="2"/>
  <c r="M32" i="2"/>
  <c r="M25" i="2"/>
  <c r="M10" i="2"/>
  <c r="M6" i="2"/>
  <c r="M14" i="2" s="1"/>
  <c r="N81" i="2"/>
  <c r="N23" i="2"/>
  <c r="N20" i="2"/>
  <c r="G69" i="2" l="1"/>
  <c r="J56" i="2"/>
  <c r="I56" i="2"/>
  <c r="J12" i="2"/>
  <c r="J15" i="2" s="1"/>
  <c r="J16" i="2" s="1"/>
  <c r="I12" i="2"/>
  <c r="I15" i="2" s="1"/>
  <c r="I16" i="2" s="1"/>
  <c r="K82" i="2"/>
  <c r="K83" i="2" s="1"/>
  <c r="J82" i="2"/>
  <c r="J83" i="2" s="1"/>
  <c r="L56" i="2"/>
  <c r="K56" i="2"/>
  <c r="L12" i="2"/>
  <c r="L15" i="2" s="1"/>
  <c r="L16" i="2" s="1"/>
  <c r="K12" i="2"/>
  <c r="K15" i="2" s="1"/>
  <c r="K16" i="2" s="1"/>
  <c r="M62" i="2"/>
  <c r="M65" i="2" s="1"/>
  <c r="L82" i="2"/>
  <c r="L83" i="2" s="1"/>
  <c r="M134" i="2"/>
  <c r="M135" i="2" s="1"/>
  <c r="M33" i="2"/>
  <c r="M75" i="2"/>
  <c r="N133" i="2"/>
  <c r="N131" i="2"/>
  <c r="N122" i="2"/>
  <c r="N123" i="2" s="1"/>
  <c r="N124" i="2" s="1"/>
  <c r="N110" i="2"/>
  <c r="N111" i="2" s="1"/>
  <c r="N112" i="2" s="1"/>
  <c r="N91" i="2"/>
  <c r="N93" i="2" s="1"/>
  <c r="N73" i="2"/>
  <c r="N66" i="2"/>
  <c r="N68" i="2" s="1"/>
  <c r="N59" i="2"/>
  <c r="N55" i="2"/>
  <c r="N49" i="2"/>
  <c r="N48" i="2"/>
  <c r="J49" i="2" s="1"/>
  <c r="J50" i="2" s="1"/>
  <c r="J52" i="2" s="1"/>
  <c r="N42" i="2"/>
  <c r="N43" i="2" s="1"/>
  <c r="N45" i="2" s="1"/>
  <c r="N38" i="2"/>
  <c r="N32" i="2"/>
  <c r="N25" i="2"/>
  <c r="N10" i="2"/>
  <c r="N6" i="2"/>
  <c r="N14" i="2" s="1"/>
  <c r="M99" i="2" l="1"/>
  <c r="M100" i="2" s="1"/>
  <c r="I66" i="2"/>
  <c r="M72" i="2"/>
  <c r="N50" i="2"/>
  <c r="N52" i="2" s="1"/>
  <c r="N134" i="2"/>
  <c r="N135" i="2" s="1"/>
  <c r="N33" i="2"/>
  <c r="N62" i="2"/>
  <c r="N65" i="2" s="1"/>
  <c r="N75" i="2"/>
  <c r="O110" i="2"/>
  <c r="P91" i="2"/>
  <c r="P93" i="2" s="1"/>
  <c r="P81" i="2"/>
  <c r="O81" i="2"/>
  <c r="I68" i="2" l="1"/>
  <c r="I67" i="2"/>
  <c r="J94" i="2"/>
  <c r="J95" i="2" s="1"/>
  <c r="I94" i="2"/>
  <c r="I95" i="2" s="1"/>
  <c r="N99" i="2"/>
  <c r="N100" i="2" s="1"/>
  <c r="J66" i="2"/>
  <c r="L94" i="2"/>
  <c r="L95" i="2" s="1"/>
  <c r="K94" i="2"/>
  <c r="K95" i="2" s="1"/>
  <c r="M74" i="2"/>
  <c r="M76" i="2" s="1"/>
  <c r="N67" i="2"/>
  <c r="N69" i="2" s="1"/>
  <c r="N72" i="2"/>
  <c r="P20" i="2"/>
  <c r="I69" i="2" l="1"/>
  <c r="J68" i="2"/>
  <c r="J67" i="2"/>
  <c r="N74" i="2"/>
  <c r="N76" i="2" s="1"/>
  <c r="O20" i="2"/>
  <c r="O23" i="2"/>
  <c r="J69" i="2" l="1"/>
  <c r="O133" i="2"/>
  <c r="O131" i="2"/>
  <c r="O122" i="2"/>
  <c r="O111" i="2"/>
  <c r="O112" i="2" s="1"/>
  <c r="O91" i="2"/>
  <c r="O93" i="2" s="1"/>
  <c r="O73" i="2"/>
  <c r="O66" i="2"/>
  <c r="O68" i="2" s="1"/>
  <c r="O59" i="2"/>
  <c r="O55" i="2"/>
  <c r="O49" i="2"/>
  <c r="O48" i="2"/>
  <c r="O42" i="2"/>
  <c r="O43" i="2" s="1"/>
  <c r="O45" i="2" s="1"/>
  <c r="O38" i="2"/>
  <c r="O30" i="2"/>
  <c r="O32" i="2" s="1"/>
  <c r="O10" i="2"/>
  <c r="O6" i="2"/>
  <c r="O14" i="2" s="1"/>
  <c r="P133" i="2"/>
  <c r="O75" i="2" l="1"/>
  <c r="K49" i="2"/>
  <c r="K50" i="2" s="1"/>
  <c r="K52" i="2" s="1"/>
  <c r="O50" i="2"/>
  <c r="O52" i="2" s="1"/>
  <c r="O62" i="2"/>
  <c r="O65" i="2" s="1"/>
  <c r="O134" i="2"/>
  <c r="O135" i="2" s="1"/>
  <c r="O123" i="2"/>
  <c r="O124" i="2" s="1"/>
  <c r="O25" i="2"/>
  <c r="O33" i="2"/>
  <c r="O99" i="2" l="1"/>
  <c r="O100" i="2" s="1"/>
  <c r="K66" i="2"/>
  <c r="O72" i="2"/>
  <c r="O67" i="2"/>
  <c r="O69" i="2" s="1"/>
  <c r="P122" i="2"/>
  <c r="K68" i="2" l="1"/>
  <c r="K67" i="2"/>
  <c r="O74" i="2"/>
  <c r="O76" i="2" s="1"/>
  <c r="P110" i="2"/>
  <c r="K69" i="2" l="1"/>
  <c r="Q106" i="2"/>
  <c r="P131" i="2" l="1"/>
  <c r="P134" i="2" s="1"/>
  <c r="P135" i="2" s="1"/>
  <c r="Q131" i="2"/>
  <c r="P123" i="2"/>
  <c r="P124" i="2" s="1"/>
  <c r="P111" i="2"/>
  <c r="P112" i="2" s="1"/>
  <c r="Q118" i="2"/>
  <c r="P73" i="2"/>
  <c r="P66" i="2"/>
  <c r="P68" i="2" s="1"/>
  <c r="P59" i="2"/>
  <c r="Q59" i="2"/>
  <c r="Q62" i="2" s="1"/>
  <c r="Q65" i="2" s="1"/>
  <c r="T56" i="2"/>
  <c r="P55" i="2"/>
  <c r="P49" i="2"/>
  <c r="P48" i="2"/>
  <c r="P42" i="2"/>
  <c r="P43" i="2" s="1"/>
  <c r="P45" i="2" s="1"/>
  <c r="P38" i="2"/>
  <c r="Q38" i="2"/>
  <c r="P30" i="2"/>
  <c r="P32" i="2" s="1"/>
  <c r="P33" i="2" s="1"/>
  <c r="Q30" i="2"/>
  <c r="P23" i="2"/>
  <c r="P25" i="2" s="1"/>
  <c r="Q23" i="2"/>
  <c r="P10" i="2"/>
  <c r="P6" i="2"/>
  <c r="P14" i="2" s="1"/>
  <c r="P75" i="2" l="1"/>
  <c r="L49" i="2"/>
  <c r="L50" i="2" s="1"/>
  <c r="L52" i="2" s="1"/>
  <c r="M82" i="2"/>
  <c r="M83" i="2" s="1"/>
  <c r="M66" i="2"/>
  <c r="M67" i="2" s="1"/>
  <c r="Q99" i="2"/>
  <c r="Q100" i="2" s="1"/>
  <c r="P62" i="2"/>
  <c r="P65" i="2" s="1"/>
  <c r="L66" i="2" s="1"/>
  <c r="N82" i="2"/>
  <c r="N83" i="2" s="1"/>
  <c r="P82" i="2"/>
  <c r="P83" i="2" s="1"/>
  <c r="O82" i="2"/>
  <c r="O83" i="2" s="1"/>
  <c r="P50" i="2"/>
  <c r="P52" i="2" s="1"/>
  <c r="L68" i="2" l="1"/>
  <c r="L67" i="2"/>
  <c r="M68" i="2"/>
  <c r="M69" i="2" s="1"/>
  <c r="P67" i="2"/>
  <c r="P69" i="2" s="1"/>
  <c r="P99" i="2"/>
  <c r="P100" i="2" s="1"/>
  <c r="P72" i="2"/>
  <c r="Q122" i="2"/>
  <c r="L69" i="2" l="1"/>
  <c r="P74" i="2"/>
  <c r="P76" i="2" s="1"/>
  <c r="Q127" i="2"/>
  <c r="Q133" i="2" s="1"/>
  <c r="Q20" i="2" l="1"/>
  <c r="Q25" i="2" s="1"/>
  <c r="Q110" i="2"/>
  <c r="Q81" i="2"/>
  <c r="Q42" i="2"/>
  <c r="Q43" i="2" s="1"/>
  <c r="Q45" i="2" s="1"/>
  <c r="Q111" i="2" l="1"/>
  <c r="Q112" i="2" s="1"/>
  <c r="S73" i="2"/>
  <c r="S74" i="2" s="1"/>
  <c r="S76" i="2" s="1"/>
  <c r="T73" i="2"/>
  <c r="T74" i="2" s="1"/>
  <c r="T76" i="2" s="1"/>
  <c r="U73" i="2"/>
  <c r="V73" i="2"/>
  <c r="W73" i="2"/>
  <c r="X73" i="2"/>
  <c r="Y73" i="2"/>
  <c r="Q73" i="2"/>
  <c r="Q55" i="2" l="1"/>
  <c r="M56" i="2" s="1"/>
  <c r="Q48" i="2"/>
  <c r="M49" i="2" s="1"/>
  <c r="M50" i="2" s="1"/>
  <c r="M52" i="2" s="1"/>
  <c r="Q32" i="2"/>
  <c r="Q33" i="2" s="1"/>
  <c r="Q6" i="2"/>
  <c r="Q14" i="2" s="1"/>
  <c r="O56" i="2" l="1"/>
  <c r="N56" i="2"/>
  <c r="Q56" i="2"/>
  <c r="P56" i="2"/>
  <c r="Q75" i="2"/>
  <c r="X56" i="2"/>
  <c r="W56" i="2"/>
  <c r="U56" i="2"/>
  <c r="X23" i="2"/>
  <c r="W23" i="2"/>
  <c r="V23" i="2"/>
  <c r="U23" i="2"/>
  <c r="Y131" i="2"/>
  <c r="V131" i="2"/>
  <c r="W131" i="2"/>
  <c r="X131" i="2"/>
  <c r="U131" i="2" l="1"/>
  <c r="T131" i="2"/>
  <c r="T95" i="2" l="1"/>
  <c r="Y32" i="2"/>
  <c r="X32" i="2"/>
  <c r="W32" i="2"/>
  <c r="V32" i="2"/>
  <c r="U32" i="2"/>
  <c r="T32" i="2"/>
  <c r="Q134" i="2" l="1"/>
  <c r="Q135" i="2" s="1"/>
  <c r="V82" i="2" l="1"/>
  <c r="U82" i="2"/>
  <c r="X20" i="2"/>
  <c r="T115" i="2" l="1"/>
  <c r="Q115" i="2"/>
  <c r="T118" i="2"/>
  <c r="T122" i="2" s="1"/>
  <c r="T106" i="2"/>
  <c r="T133" i="2"/>
  <c r="Q113" i="2" l="1"/>
  <c r="T113" i="2"/>
  <c r="T134" i="2"/>
  <c r="T135" i="2" s="1"/>
  <c r="T123" i="2"/>
  <c r="T124" i="2" s="1"/>
  <c r="T110" i="2"/>
  <c r="T111" i="2" s="1"/>
  <c r="T112" i="2" s="1"/>
  <c r="Q114" i="2"/>
  <c r="T114" i="2"/>
  <c r="Q82" i="2"/>
  <c r="Q123" i="2" l="1"/>
  <c r="Q124" i="2" s="1"/>
  <c r="Q91" i="2"/>
  <c r="Q93" i="2" s="1"/>
  <c r="Q72" i="2"/>
  <c r="M94" i="2" s="1"/>
  <c r="M95" i="2" s="1"/>
  <c r="Q10" i="2"/>
  <c r="M12" i="2" s="1"/>
  <c r="M15" i="2" s="1"/>
  <c r="M16" i="2" s="1"/>
  <c r="X48" i="2"/>
  <c r="O12" i="2" l="1"/>
  <c r="O15" i="2" s="1"/>
  <c r="O16" i="2" s="1"/>
  <c r="N12" i="2"/>
  <c r="N15" i="2" s="1"/>
  <c r="N16" i="2" s="1"/>
  <c r="O94" i="2"/>
  <c r="O95" i="2" s="1"/>
  <c r="N94" i="2"/>
  <c r="N95" i="2" s="1"/>
  <c r="P12" i="2"/>
  <c r="P15" i="2" s="1"/>
  <c r="P16" i="2" s="1"/>
  <c r="Q74" i="2"/>
  <c r="Q76" i="2" s="1"/>
  <c r="P94" i="2"/>
  <c r="P95" i="2" s="1"/>
  <c r="Q83" i="2"/>
  <c r="X133" i="2"/>
  <c r="Y110" i="2" l="1"/>
  <c r="Y111" i="2" s="1"/>
  <c r="Y112" i="2" s="1"/>
  <c r="V110" i="2"/>
  <c r="V111" i="2" s="1"/>
  <c r="V112" i="2" s="1"/>
  <c r="W110" i="2"/>
  <c r="W111" i="2" s="1"/>
  <c r="W112" i="2" s="1"/>
  <c r="U110" i="2"/>
  <c r="U111" i="2" s="1"/>
  <c r="U112" i="2" s="1"/>
  <c r="Y122" i="2" l="1"/>
  <c r="Y123" i="2" s="1"/>
  <c r="Y124" i="2" s="1"/>
  <c r="V122" i="2"/>
  <c r="V123" i="2" s="1"/>
  <c r="V124" i="2" s="1"/>
  <c r="W122" i="2"/>
  <c r="W123" i="2" s="1"/>
  <c r="W124" i="2" s="1"/>
  <c r="X122" i="2"/>
  <c r="X123" i="2" s="1"/>
  <c r="X124" i="2" s="1"/>
  <c r="U122" i="2"/>
  <c r="U123" i="2" s="1"/>
  <c r="U124" i="2" s="1"/>
  <c r="Y133" i="2"/>
  <c r="Y134" i="2" s="1"/>
  <c r="Y135" i="2" s="1"/>
  <c r="V133" i="2"/>
  <c r="W133" i="2"/>
  <c r="W134" i="2" s="1"/>
  <c r="W135" i="2" s="1"/>
  <c r="X134" i="2"/>
  <c r="X135" i="2" s="1"/>
  <c r="U133" i="2"/>
  <c r="U134" i="2" s="1"/>
  <c r="U135" i="2" s="1"/>
  <c r="X110" i="2" l="1"/>
  <c r="X111" i="2" s="1"/>
  <c r="X112" i="2" s="1"/>
  <c r="V134" i="2"/>
  <c r="V135" i="2" s="1"/>
  <c r="Y91" i="2" l="1"/>
  <c r="Y93" i="2" s="1"/>
  <c r="Y95" i="2" s="1"/>
  <c r="X91" i="2"/>
  <c r="U91" i="2"/>
  <c r="Y81" i="2"/>
  <c r="Y83" i="2" s="1"/>
  <c r="W79" i="2"/>
  <c r="V79" i="2" s="1"/>
  <c r="V81" i="2" s="1"/>
  <c r="X82" i="2"/>
  <c r="W82" i="2"/>
  <c r="X81" i="2"/>
  <c r="U81" i="2"/>
  <c r="V91" i="2" l="1"/>
  <c r="W91" i="2"/>
  <c r="W81" i="2"/>
  <c r="W83" i="2" s="1"/>
  <c r="U83" i="2"/>
  <c r="X83" i="2"/>
  <c r="V83" i="2"/>
  <c r="Y68" i="2" l="1"/>
  <c r="X68" i="2"/>
  <c r="W68" i="2"/>
  <c r="V68" i="2"/>
  <c r="Y62" i="2" l="1"/>
  <c r="Y65" i="2" s="1"/>
  <c r="Y99" i="2" s="1"/>
  <c r="Y100" i="2" s="1"/>
  <c r="X62" i="2"/>
  <c r="W62" i="2"/>
  <c r="V62" i="2"/>
  <c r="U62" i="2"/>
  <c r="V56" i="2"/>
  <c r="W65" i="2" l="1"/>
  <c r="W99" i="2" s="1"/>
  <c r="W100" i="2" s="1"/>
  <c r="U65" i="2"/>
  <c r="V65" i="2"/>
  <c r="V99" i="2" s="1"/>
  <c r="V100" i="2" s="1"/>
  <c r="X65" i="2"/>
  <c r="U66" i="2"/>
  <c r="U68" i="2" s="1"/>
  <c r="Y67" i="2"/>
  <c r="Y69" i="2" s="1"/>
  <c r="Y72" i="2"/>
  <c r="Y74" i="2" s="1"/>
  <c r="X94" i="2" l="1"/>
  <c r="X99" i="2"/>
  <c r="X100" i="2" s="1"/>
  <c r="Q66" i="2"/>
  <c r="U99" i="2"/>
  <c r="U100" i="2" s="1"/>
  <c r="Q68" i="2"/>
  <c r="Q67" i="2"/>
  <c r="U72" i="2"/>
  <c r="U94" i="2"/>
  <c r="V72" i="2"/>
  <c r="V74" i="2" s="1"/>
  <c r="V67" i="2"/>
  <c r="V69" i="2" s="1"/>
  <c r="X72" i="2"/>
  <c r="X74" i="2" s="1"/>
  <c r="X67" i="2"/>
  <c r="X69" i="2" s="1"/>
  <c r="W72" i="2"/>
  <c r="W74" i="2" s="1"/>
  <c r="W67" i="2"/>
  <c r="W69" i="2" s="1"/>
  <c r="W48" i="2"/>
  <c r="X75" i="2"/>
  <c r="Y48" i="2"/>
  <c r="Y75" i="2" s="1"/>
  <c r="Y76" i="2" s="1"/>
  <c r="V48" i="2"/>
  <c r="U48" i="2"/>
  <c r="U43" i="2"/>
  <c r="U45" i="2" s="1"/>
  <c r="X43" i="2"/>
  <c r="X45" i="2" s="1"/>
  <c r="W43" i="2"/>
  <c r="W45" i="2" s="1"/>
  <c r="X38" i="2"/>
  <c r="W38" i="2"/>
  <c r="X76" i="2" l="1"/>
  <c r="Q69" i="2"/>
  <c r="U75" i="2"/>
  <c r="Q49" i="2"/>
  <c r="Q50" i="2" s="1"/>
  <c r="Q52" i="2" s="1"/>
  <c r="Q94" i="2"/>
  <c r="Q95" i="2" s="1"/>
  <c r="U74" i="2"/>
  <c r="V75" i="2"/>
  <c r="V76" i="2" s="1"/>
  <c r="W75" i="2"/>
  <c r="W76" i="2" s="1"/>
  <c r="Y43" i="2"/>
  <c r="Y45" i="2" s="1"/>
  <c r="Y50" i="2"/>
  <c r="Y52" i="2" s="1"/>
  <c r="V43" i="2"/>
  <c r="V45" i="2" s="1"/>
  <c r="U76" i="2" l="1"/>
  <c r="Y38" i="2"/>
  <c r="V38" i="2"/>
  <c r="Y33" i="2"/>
  <c r="V28" i="2"/>
  <c r="W28" i="2"/>
  <c r="Y20" i="2"/>
  <c r="Y25" i="2" s="1"/>
  <c r="V19" i="2"/>
  <c r="W19" i="2"/>
  <c r="U20" i="2"/>
  <c r="Y15" i="2"/>
  <c r="Y6" i="2"/>
  <c r="Y14" i="2" s="1"/>
  <c r="X6" i="2"/>
  <c r="X14" i="2" s="1"/>
  <c r="W6" i="2"/>
  <c r="W14" i="2" s="1"/>
  <c r="V6" i="2"/>
  <c r="V14" i="2" s="1"/>
  <c r="Y10" i="2"/>
  <c r="W20" i="2" l="1"/>
  <c r="W25" i="2" s="1"/>
  <c r="V20" i="2"/>
  <c r="V25" i="2" s="1"/>
  <c r="U25" i="2"/>
  <c r="X25" i="2"/>
  <c r="Y16" i="2"/>
  <c r="V10" i="2" l="1"/>
  <c r="W10" i="2"/>
  <c r="X10" i="2"/>
  <c r="V33" i="2"/>
  <c r="W33" i="2"/>
  <c r="X33" i="2"/>
  <c r="X50" i="2"/>
  <c r="X52" i="2" s="1"/>
  <c r="W94" i="2"/>
  <c r="V93" i="2"/>
  <c r="W93" i="2"/>
  <c r="X93" i="2"/>
  <c r="X12" i="2" l="1"/>
  <c r="X15" i="2" s="1"/>
  <c r="X16" i="2" s="1"/>
  <c r="X95" i="2"/>
  <c r="W95" i="2"/>
  <c r="W12" i="2"/>
  <c r="W15" i="2" s="1"/>
  <c r="W16" i="2" s="1"/>
  <c r="V12" i="2"/>
  <c r="V15" i="2" s="1"/>
  <c r="V16" i="2" s="1"/>
  <c r="V94" i="2"/>
  <c r="V95" i="2" l="1"/>
  <c r="U49" i="2"/>
  <c r="U67" i="2" l="1"/>
  <c r="U69" i="2" l="1"/>
  <c r="W50" i="2"/>
  <c r="W52" i="2" s="1"/>
  <c r="V50" i="2" l="1"/>
  <c r="V52" i="2" s="1"/>
  <c r="U93" i="2" l="1"/>
  <c r="U38" i="2"/>
  <c r="U50" i="2" l="1"/>
  <c r="U52" i="2" s="1"/>
  <c r="U95" i="2"/>
  <c r="U10" i="2"/>
  <c r="Q12" i="2" s="1"/>
  <c r="Q15" i="2" s="1"/>
  <c r="Q16" i="2" s="1"/>
  <c r="U12" i="2" l="1"/>
  <c r="U33" i="2"/>
  <c r="U15" i="2" l="1"/>
  <c r="U6" i="2" l="1"/>
  <c r="U14" i="2" s="1"/>
  <c r="U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<sst xmlns="http://schemas.openxmlformats.org/spreadsheetml/2006/main" count="124" uniqueCount="110">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</sst>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3"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
      <sz val="11"/>
      <color rgb="FFEE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8">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164" fontId="8" fillId="0" borderId="0" xfId="2" applyNumberFormat="1" applyFont="1"/>
    <xf numFmtId="10" fontId="2" fillId="0" borderId="0" xfId="0" applyNumberFormat="1" applyFont="1"/>
    <xf numFmtId="164" fontId="2" fillId="0" borderId="0" xfId="2" applyNumberFormat="1" applyFont="1"/>
    <xf numFmtId="10" fontId="12" fillId="6" borderId="0" xfId="2" applyNumberFormat="1" applyFont="1" applyFill="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4140625" defaultRowHeight="14.4" x14ac:dyDescent="0.3"/>
  <cols>
    <col min="1" max="1" width="54.88671875" customWidth="1"/>
    <col min="2" max="2" width="112.109375" customWidth="1"/>
  </cols>
  <sheetData>
    <row r="1" spans="1:3" ht="18" x14ac:dyDescent="0.35">
      <c r="A1" s="7" t="s">
        <v>0</v>
      </c>
    </row>
    <row r="2" spans="1:3" s="2" customFormat="1" ht="54.75" customHeight="1" x14ac:dyDescent="0.3">
      <c r="A2" s="77" t="s">
        <v>1</v>
      </c>
      <c r="B2" s="77"/>
    </row>
    <row r="3" spans="1:3" ht="33" customHeight="1" x14ac:dyDescent="0.3">
      <c r="A3" s="77" t="s">
        <v>2</v>
      </c>
      <c r="B3" s="77"/>
    </row>
    <row r="4" spans="1:3" ht="33" customHeight="1" x14ac:dyDescent="0.3">
      <c r="A4" s="1"/>
      <c r="B4" s="1"/>
    </row>
    <row r="5" spans="1:3" x14ac:dyDescent="0.3">
      <c r="A5" s="3" t="s">
        <v>3</v>
      </c>
      <c r="B5" s="3" t="s">
        <v>4</v>
      </c>
    </row>
    <row r="6" spans="1:3" ht="60" customHeight="1" x14ac:dyDescent="0.3">
      <c r="A6" s="4" t="s">
        <v>5</v>
      </c>
      <c r="B6" s="1" t="s">
        <v>96</v>
      </c>
    </row>
    <row r="7" spans="1:3" ht="44.25" customHeight="1" x14ac:dyDescent="0.3">
      <c r="A7" s="5" t="s">
        <v>6</v>
      </c>
      <c r="B7" s="1" t="s">
        <v>7</v>
      </c>
    </row>
    <row r="8" spans="1:3" ht="42.75" customHeight="1" x14ac:dyDescent="0.3">
      <c r="A8" s="4" t="s">
        <v>8</v>
      </c>
      <c r="B8" s="1" t="s">
        <v>9</v>
      </c>
    </row>
    <row r="9" spans="1:3" ht="33" customHeight="1" x14ac:dyDescent="0.3">
      <c r="A9" s="4" t="s">
        <v>10</v>
      </c>
      <c r="B9" s="1" t="s">
        <v>11</v>
      </c>
      <c r="C9" s="1"/>
    </row>
    <row r="10" spans="1:3" ht="47.25" customHeight="1" thickBot="1" x14ac:dyDescent="0.35">
      <c r="A10" s="39" t="s">
        <v>12</v>
      </c>
      <c r="B10" s="1" t="s">
        <v>97</v>
      </c>
      <c r="C10" s="1"/>
    </row>
    <row r="11" spans="1:3" ht="47.25" customHeight="1" x14ac:dyDescent="0.3">
      <c r="A11" s="6" t="s">
        <v>13</v>
      </c>
      <c r="B11" s="1" t="s">
        <v>14</v>
      </c>
      <c r="C11" s="1"/>
    </row>
    <row r="12" spans="1:3" x14ac:dyDescent="0.3">
      <c r="A12" s="6" t="s">
        <v>15</v>
      </c>
      <c r="B12" s="1" t="s">
        <v>16</v>
      </c>
    </row>
    <row r="13" spans="1:3" ht="29.4" thickBot="1" x14ac:dyDescent="0.35">
      <c r="A13" s="39" t="s">
        <v>17</v>
      </c>
      <c r="B13" s="1" t="s">
        <v>18</v>
      </c>
    </row>
    <row r="14" spans="1:3" ht="43.2" x14ac:dyDescent="0.3">
      <c r="A14" s="6" t="s">
        <v>19</v>
      </c>
      <c r="B14" s="1" t="s">
        <v>98</v>
      </c>
    </row>
    <row r="15" spans="1:3" ht="86.4" x14ac:dyDescent="0.3">
      <c r="A15" s="6" t="s">
        <v>20</v>
      </c>
      <c r="B15" s="1" t="s">
        <v>99</v>
      </c>
    </row>
    <row r="16" spans="1:3" ht="28.8" x14ac:dyDescent="0.3">
      <c r="A16" s="6" t="s">
        <v>21</v>
      </c>
      <c r="B16" s="1" t="s">
        <v>22</v>
      </c>
    </row>
    <row r="17" spans="1:2" ht="43.2" x14ac:dyDescent="0.3">
      <c r="A17" s="4" t="s">
        <v>23</v>
      </c>
      <c r="B17" s="1" t="s">
        <v>24</v>
      </c>
    </row>
    <row r="18" spans="1:2" ht="47.25" customHeight="1" x14ac:dyDescent="0.3">
      <c r="A18" s="6" t="s">
        <v>100</v>
      </c>
      <c r="B18" s="1" t="s">
        <v>101</v>
      </c>
    </row>
    <row r="19" spans="1:2" ht="57.6" x14ac:dyDescent="0.3">
      <c r="A19" s="6" t="s">
        <v>25</v>
      </c>
      <c r="B19" s="1" t="s">
        <v>26</v>
      </c>
    </row>
    <row r="20" spans="1:2" ht="46.5" customHeight="1" x14ac:dyDescent="0.3">
      <c r="A20" s="6" t="s">
        <v>102</v>
      </c>
      <c r="B20" s="1" t="s">
        <v>27</v>
      </c>
    </row>
    <row r="21" spans="1:2" ht="86.4" x14ac:dyDescent="0.3">
      <c r="A21" s="6" t="s">
        <v>103</v>
      </c>
      <c r="B21" s="1" t="s">
        <v>28</v>
      </c>
    </row>
    <row r="22" spans="1:2" ht="57.6" x14ac:dyDescent="0.3">
      <c r="A22" s="4" t="s">
        <v>29</v>
      </c>
      <c r="B22" s="1" t="s">
        <v>30</v>
      </c>
    </row>
    <row r="23" spans="1:2" x14ac:dyDescent="0.3">
      <c r="A23" s="8"/>
    </row>
    <row r="24" spans="1:2" x14ac:dyDescent="0.3">
      <c r="A24" s="8"/>
    </row>
    <row r="25" spans="1:2" x14ac:dyDescent="0.3">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0"/>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4140625" defaultRowHeight="14.4" x14ac:dyDescent="0.3"/>
  <cols>
    <col min="1" max="1" width="74.44140625" customWidth="1"/>
    <col min="2" max="4" width="18" style="22" customWidth="1"/>
    <col min="5" max="24" width="18" style="17" customWidth="1"/>
    <col min="25" max="25" width="18" style="22" customWidth="1"/>
    <col min="26" max="26" width="11.44140625" customWidth="1"/>
  </cols>
  <sheetData>
    <row r="1" spans="1:26" s="13" customFormat="1" x14ac:dyDescent="0.3">
      <c r="A1" s="13" t="s">
        <v>31</v>
      </c>
      <c r="B1" s="23">
        <v>45930</v>
      </c>
      <c r="C1" s="23">
        <v>45838</v>
      </c>
      <c r="D1" s="23">
        <v>45747</v>
      </c>
      <c r="E1" s="23">
        <v>45657</v>
      </c>
      <c r="F1" s="23">
        <v>45565</v>
      </c>
      <c r="G1" s="23">
        <v>45473</v>
      </c>
      <c r="H1" s="23">
        <v>45382</v>
      </c>
      <c r="I1" s="23">
        <v>45291</v>
      </c>
      <c r="J1" s="23">
        <v>45199</v>
      </c>
      <c r="K1" s="23">
        <v>45107</v>
      </c>
      <c r="L1" s="23">
        <v>45016</v>
      </c>
      <c r="M1" s="23">
        <v>44926</v>
      </c>
      <c r="N1" s="23">
        <v>44834</v>
      </c>
      <c r="O1" s="23">
        <v>44742</v>
      </c>
      <c r="P1" s="23">
        <v>44651</v>
      </c>
      <c r="Q1" s="23">
        <v>44561</v>
      </c>
      <c r="R1" s="23">
        <v>44469</v>
      </c>
      <c r="S1" s="23">
        <v>44377</v>
      </c>
      <c r="T1" s="23">
        <v>44286</v>
      </c>
      <c r="U1" s="23">
        <v>44196</v>
      </c>
      <c r="V1" s="23">
        <v>44104</v>
      </c>
      <c r="W1" s="23">
        <v>44012</v>
      </c>
      <c r="X1" s="23">
        <v>43921</v>
      </c>
      <c r="Y1" s="23">
        <v>43830</v>
      </c>
      <c r="Z1" s="28"/>
    </row>
    <row r="2" spans="1:26" x14ac:dyDescent="0.3">
      <c r="E2" s="22"/>
      <c r="F2" s="22"/>
      <c r="G2" s="22"/>
      <c r="H2" s="22"/>
      <c r="I2" s="22"/>
      <c r="J2" s="22"/>
      <c r="K2" s="22"/>
      <c r="L2" s="22"/>
      <c r="M2" s="22"/>
      <c r="O2" s="22"/>
    </row>
    <row r="3" spans="1:26" x14ac:dyDescent="0.3">
      <c r="A3" s="27"/>
      <c r="E3" s="22"/>
      <c r="F3" s="22"/>
      <c r="G3" s="22"/>
      <c r="H3" s="22"/>
      <c r="I3" s="22"/>
      <c r="J3" s="22"/>
      <c r="K3" s="22"/>
      <c r="L3" s="22"/>
      <c r="M3" s="22"/>
      <c r="O3" s="22"/>
      <c r="T3" s="52"/>
    </row>
    <row r="4" spans="1:26" x14ac:dyDescent="0.3">
      <c r="A4" t="s">
        <v>32</v>
      </c>
      <c r="B4" s="60">
        <v>685</v>
      </c>
      <c r="C4" s="60">
        <v>475</v>
      </c>
      <c r="D4" s="60">
        <v>221</v>
      </c>
      <c r="E4" s="60">
        <v>902</v>
      </c>
      <c r="F4" s="60">
        <v>696</v>
      </c>
      <c r="G4" s="60">
        <v>467</v>
      </c>
      <c r="H4" s="60">
        <v>247</v>
      </c>
      <c r="I4" s="60">
        <v>764</v>
      </c>
      <c r="J4" s="60">
        <v>546</v>
      </c>
      <c r="K4" s="60">
        <v>354</v>
      </c>
      <c r="L4" s="60">
        <v>183</v>
      </c>
      <c r="M4" s="60">
        <v>595</v>
      </c>
      <c r="N4" s="60">
        <v>435</v>
      </c>
      <c r="O4" s="60">
        <v>281</v>
      </c>
      <c r="P4" s="60">
        <v>143</v>
      </c>
      <c r="Q4" s="56">
        <v>478</v>
      </c>
      <c r="R4" s="56">
        <v>356</v>
      </c>
      <c r="S4" s="56">
        <v>239</v>
      </c>
      <c r="T4" s="56">
        <v>117</v>
      </c>
      <c r="U4" s="56">
        <v>354</v>
      </c>
      <c r="V4" s="56">
        <v>249</v>
      </c>
      <c r="W4" s="56">
        <v>150</v>
      </c>
      <c r="X4" s="56">
        <v>69</v>
      </c>
      <c r="Y4" s="56">
        <v>327</v>
      </c>
    </row>
    <row r="5" spans="1:26" x14ac:dyDescent="0.3">
      <c r="A5" s="28" t="s">
        <v>33</v>
      </c>
      <c r="B5" s="11">
        <v>31.51</v>
      </c>
      <c r="C5" s="11">
        <v>21</v>
      </c>
      <c r="D5" s="11">
        <v>10</v>
      </c>
      <c r="E5" s="11">
        <v>42</v>
      </c>
      <c r="F5" s="11">
        <v>31.597541990000003</v>
      </c>
      <c r="G5" s="11">
        <v>20.735598150000001</v>
      </c>
      <c r="H5" s="11">
        <v>10</v>
      </c>
      <c r="I5" s="11">
        <v>32</v>
      </c>
      <c r="J5" s="11">
        <v>24</v>
      </c>
      <c r="K5" s="11">
        <v>16</v>
      </c>
      <c r="L5" s="11">
        <v>8</v>
      </c>
      <c r="M5" s="11">
        <v>17</v>
      </c>
      <c r="N5" s="11">
        <v>11.3946057</v>
      </c>
      <c r="O5" s="11">
        <v>6.9135794300000004</v>
      </c>
      <c r="P5" s="11">
        <v>3.43107096</v>
      </c>
      <c r="Q5" s="54">
        <v>10</v>
      </c>
      <c r="R5" s="54">
        <v>7</v>
      </c>
      <c r="S5" s="54">
        <v>5</v>
      </c>
      <c r="T5" s="54">
        <v>2</v>
      </c>
      <c r="U5" s="54">
        <v>11</v>
      </c>
      <c r="V5" s="54">
        <v>8</v>
      </c>
      <c r="W5" s="54">
        <v>6</v>
      </c>
      <c r="X5" s="54">
        <v>3</v>
      </c>
      <c r="Y5" s="54">
        <v>14</v>
      </c>
    </row>
    <row r="6" spans="1:26" x14ac:dyDescent="0.3">
      <c r="A6" t="s">
        <v>34</v>
      </c>
      <c r="B6" s="60">
        <f>B4-B5</f>
        <v>653.49</v>
      </c>
      <c r="C6" s="60">
        <f t="shared" ref="C6" si="0">C4-C5</f>
        <v>454</v>
      </c>
      <c r="D6" s="60">
        <f t="shared" ref="D6:E6" si="1">D4-D5</f>
        <v>211</v>
      </c>
      <c r="E6" s="60">
        <f t="shared" si="1"/>
        <v>860</v>
      </c>
      <c r="F6" s="60">
        <f t="shared" ref="F6:K6" si="2">F4-F5</f>
        <v>664.40245801000003</v>
      </c>
      <c r="G6" s="60">
        <f t="shared" si="2"/>
        <v>446.26440185000001</v>
      </c>
      <c r="H6" s="60">
        <f t="shared" si="2"/>
        <v>237</v>
      </c>
      <c r="I6" s="60">
        <f t="shared" si="2"/>
        <v>732</v>
      </c>
      <c r="J6" s="60">
        <f t="shared" si="2"/>
        <v>522</v>
      </c>
      <c r="K6" s="60">
        <f t="shared" si="2"/>
        <v>338</v>
      </c>
      <c r="L6" s="60">
        <f t="shared" ref="L6:Q6" si="3">L4-L5</f>
        <v>175</v>
      </c>
      <c r="M6" s="60">
        <f t="shared" si="3"/>
        <v>578</v>
      </c>
      <c r="N6" s="60">
        <f t="shared" si="3"/>
        <v>423.6053943</v>
      </c>
      <c r="O6" s="60">
        <f t="shared" si="3"/>
        <v>274.08642056999997</v>
      </c>
      <c r="P6" s="60">
        <f t="shared" si="3"/>
        <v>139.56892904</v>
      </c>
      <c r="Q6" s="56">
        <f t="shared" si="3"/>
        <v>468</v>
      </c>
      <c r="R6" s="56">
        <v>349</v>
      </c>
      <c r="S6" s="56">
        <v>234</v>
      </c>
      <c r="T6" s="56">
        <v>115</v>
      </c>
      <c r="U6" s="56">
        <f t="shared" ref="U6:Y6" si="4">U4-U5</f>
        <v>343</v>
      </c>
      <c r="V6" s="56">
        <f t="shared" si="4"/>
        <v>241</v>
      </c>
      <c r="W6" s="56">
        <f t="shared" si="4"/>
        <v>144</v>
      </c>
      <c r="X6" s="56">
        <f t="shared" si="4"/>
        <v>66</v>
      </c>
      <c r="Y6" s="56">
        <f t="shared" si="4"/>
        <v>313</v>
      </c>
    </row>
    <row r="7" spans="1:26" x14ac:dyDescent="0.3">
      <c r="B7" s="60"/>
      <c r="C7" s="60"/>
      <c r="D7" s="60"/>
      <c r="E7" s="60"/>
      <c r="F7" s="60"/>
      <c r="G7" s="60"/>
      <c r="H7" s="60"/>
      <c r="I7" s="60"/>
      <c r="J7" s="60"/>
      <c r="K7" s="60"/>
      <c r="L7" s="60"/>
      <c r="M7" s="60"/>
      <c r="N7" s="61"/>
      <c r="O7" s="60"/>
      <c r="P7" s="60"/>
      <c r="Q7" s="56"/>
      <c r="R7" s="56"/>
      <c r="S7" s="56"/>
      <c r="T7" s="56"/>
      <c r="U7" s="58"/>
      <c r="V7" s="58"/>
      <c r="W7" s="58"/>
      <c r="X7" s="56"/>
      <c r="Y7" s="56"/>
    </row>
    <row r="8" spans="1:26" x14ac:dyDescent="0.3">
      <c r="A8" t="s">
        <v>35</v>
      </c>
      <c r="B8" s="60">
        <v>7007</v>
      </c>
      <c r="C8" s="60">
        <v>6819</v>
      </c>
      <c r="D8" s="60">
        <v>6577</v>
      </c>
      <c r="E8" s="60">
        <v>7110</v>
      </c>
      <c r="F8" s="60">
        <v>6910</v>
      </c>
      <c r="G8" s="60">
        <v>6684</v>
      </c>
      <c r="H8" s="60">
        <v>6473</v>
      </c>
      <c r="I8" s="60">
        <v>6028</v>
      </c>
      <c r="J8" s="60">
        <v>5943</v>
      </c>
      <c r="K8" s="60">
        <v>5758</v>
      </c>
      <c r="L8" s="60">
        <v>5792</v>
      </c>
      <c r="M8" s="60">
        <v>5499</v>
      </c>
      <c r="N8" s="60">
        <v>5343.5</v>
      </c>
      <c r="O8" s="60">
        <v>5188</v>
      </c>
      <c r="P8" s="60">
        <v>5255</v>
      </c>
      <c r="Q8" s="56">
        <v>5017.25</v>
      </c>
      <c r="R8" s="56">
        <v>4896</v>
      </c>
      <c r="S8" s="56">
        <v>4782</v>
      </c>
      <c r="T8" s="56">
        <v>4664</v>
      </c>
      <c r="U8" s="56">
        <v>4549</v>
      </c>
      <c r="V8" s="56">
        <v>4444</v>
      </c>
      <c r="W8" s="56">
        <v>4342</v>
      </c>
      <c r="X8" s="56">
        <v>4259</v>
      </c>
      <c r="Y8" s="56">
        <v>4297</v>
      </c>
    </row>
    <row r="9" spans="1:26" x14ac:dyDescent="0.3">
      <c r="A9" s="28" t="s">
        <v>36</v>
      </c>
      <c r="B9" s="11">
        <v>525</v>
      </c>
      <c r="C9" s="11">
        <v>525</v>
      </c>
      <c r="D9" s="11">
        <v>525</v>
      </c>
      <c r="E9" s="11">
        <v>525</v>
      </c>
      <c r="F9" s="11">
        <v>525</v>
      </c>
      <c r="G9" s="11">
        <v>525</v>
      </c>
      <c r="H9" s="11">
        <v>525</v>
      </c>
      <c r="I9" s="11">
        <v>325</v>
      </c>
      <c r="J9" s="11">
        <v>444</v>
      </c>
      <c r="K9" s="11">
        <v>444</v>
      </c>
      <c r="L9" s="11">
        <v>444</v>
      </c>
      <c r="M9" s="11">
        <v>325</v>
      </c>
      <c r="N9" s="11">
        <v>325</v>
      </c>
      <c r="O9" s="11">
        <v>325</v>
      </c>
      <c r="P9" s="11">
        <v>325</v>
      </c>
      <c r="Q9" s="54">
        <v>225</v>
      </c>
      <c r="R9" s="54">
        <v>225</v>
      </c>
      <c r="S9" s="54">
        <v>225</v>
      </c>
      <c r="T9" s="54">
        <v>225</v>
      </c>
      <c r="U9" s="54">
        <v>226</v>
      </c>
      <c r="V9" s="54">
        <v>226</v>
      </c>
      <c r="W9" s="54">
        <v>226</v>
      </c>
      <c r="X9" s="54">
        <v>227</v>
      </c>
      <c r="Y9" s="54">
        <v>227</v>
      </c>
    </row>
    <row r="10" spans="1:26" x14ac:dyDescent="0.3">
      <c r="A10" t="s">
        <v>37</v>
      </c>
      <c r="B10" s="60">
        <f>B8-B9</f>
        <v>6482</v>
      </c>
      <c r="C10" s="60">
        <f t="shared" ref="C10:D10" si="5">C8-C9</f>
        <v>6294</v>
      </c>
      <c r="D10" s="60">
        <f t="shared" si="5"/>
        <v>6052</v>
      </c>
      <c r="E10" s="60">
        <f t="shared" ref="E10:F10" si="6">E8-E9</f>
        <v>6585</v>
      </c>
      <c r="F10" s="60">
        <f t="shared" si="6"/>
        <v>6385</v>
      </c>
      <c r="G10" s="60">
        <f t="shared" ref="G10:H10" si="7">G8-G9</f>
        <v>6159</v>
      </c>
      <c r="H10" s="60">
        <f t="shared" si="7"/>
        <v>5948</v>
      </c>
      <c r="I10" s="60">
        <f t="shared" ref="I10:J10" si="8">I8-I9</f>
        <v>5703</v>
      </c>
      <c r="J10" s="60">
        <f t="shared" si="8"/>
        <v>5499</v>
      </c>
      <c r="K10" s="60">
        <f t="shared" ref="K10:P10" si="9">K8-K9</f>
        <v>5314</v>
      </c>
      <c r="L10" s="60">
        <f t="shared" si="9"/>
        <v>5348</v>
      </c>
      <c r="M10" s="60">
        <f t="shared" si="9"/>
        <v>5174</v>
      </c>
      <c r="N10" s="60">
        <f t="shared" si="9"/>
        <v>5018.5</v>
      </c>
      <c r="O10" s="60">
        <f t="shared" si="9"/>
        <v>4863</v>
      </c>
      <c r="P10" s="60">
        <f t="shared" si="9"/>
        <v>4930</v>
      </c>
      <c r="Q10" s="56">
        <f t="shared" ref="Q10" si="10">Q8-Q9</f>
        <v>4792.25</v>
      </c>
      <c r="R10" s="56">
        <v>4671</v>
      </c>
      <c r="S10" s="56">
        <v>4557</v>
      </c>
      <c r="T10" s="56">
        <v>4439</v>
      </c>
      <c r="U10" s="56">
        <f t="shared" ref="U10" si="11">U8-U9</f>
        <v>4323</v>
      </c>
      <c r="V10" s="56">
        <f t="shared" ref="V10" si="12">V8-V9</f>
        <v>4218</v>
      </c>
      <c r="W10" s="56">
        <f t="shared" ref="W10:Y10" si="13">W8-W9</f>
        <v>4116</v>
      </c>
      <c r="X10" s="56">
        <f t="shared" si="13"/>
        <v>4032</v>
      </c>
      <c r="Y10" s="56">
        <f t="shared" si="13"/>
        <v>4070</v>
      </c>
    </row>
    <row r="11" spans="1:26" x14ac:dyDescent="0.3">
      <c r="B11" s="60"/>
      <c r="C11" s="60"/>
      <c r="D11" s="60"/>
      <c r="E11" s="60"/>
      <c r="F11" s="60"/>
      <c r="G11" s="60"/>
      <c r="H11" s="60"/>
      <c r="I11" s="60"/>
      <c r="J11" s="60"/>
      <c r="K11" s="60"/>
      <c r="L11" s="60"/>
      <c r="M11" s="60"/>
      <c r="N11" s="61"/>
      <c r="O11" s="60"/>
      <c r="P11" s="60"/>
      <c r="Q11" s="56"/>
      <c r="R11" s="56"/>
      <c r="S11" s="56"/>
      <c r="T11" s="56"/>
      <c r="U11" s="58"/>
      <c r="V11" s="58"/>
      <c r="W11" s="58"/>
      <c r="X11" s="56"/>
      <c r="Y11" s="56"/>
    </row>
    <row r="12" spans="1:26" x14ac:dyDescent="0.3">
      <c r="A12" t="s">
        <v>38</v>
      </c>
      <c r="B12" s="60">
        <f>(C10+B10+D10+E10)/4</f>
        <v>6353.25</v>
      </c>
      <c r="C12" s="60">
        <f>(D10+C10+E10)/3</f>
        <v>6310.333333333333</v>
      </c>
      <c r="D12" s="60">
        <f>(E10+D10)/2</f>
        <v>6318.5</v>
      </c>
      <c r="E12" s="60">
        <f>(F10+E10+G10+H10+I10)/5</f>
        <v>6156</v>
      </c>
      <c r="F12" s="60">
        <f>(G10+F10+H10+I10)/4</f>
        <v>6048.75</v>
      </c>
      <c r="G12" s="60">
        <f>(H10+G10+I10)/3</f>
        <v>5936.666666666667</v>
      </c>
      <c r="H12" s="60">
        <f>(I10+H10)/2</f>
        <v>5825.5</v>
      </c>
      <c r="I12" s="60">
        <f>(J10+I10+K10+L10+M10)/5</f>
        <v>5407.6</v>
      </c>
      <c r="J12" s="60">
        <f>(K10+J10+L10+M10)/4</f>
        <v>5333.75</v>
      </c>
      <c r="K12" s="60">
        <f>(L10+K10+M10)/3</f>
        <v>5278.666666666667</v>
      </c>
      <c r="L12" s="60">
        <f>(M10+L10)/2</f>
        <v>5261</v>
      </c>
      <c r="M12" s="60">
        <f>(N10+M10+O10+P10+Q10)/5</f>
        <v>4955.55</v>
      </c>
      <c r="N12" s="60">
        <f>(O10+N10+P10+Q10)/4</f>
        <v>4900.9375</v>
      </c>
      <c r="O12" s="60">
        <f>(P10+O10+Q10)/3</f>
        <v>4861.75</v>
      </c>
      <c r="P12" s="60">
        <f>(Q10+P10)/2</f>
        <v>4861.125</v>
      </c>
      <c r="Q12" s="56">
        <f>AVERAGE(Q10:U10)</f>
        <v>4556.45</v>
      </c>
      <c r="R12" s="56">
        <v>4496.75</v>
      </c>
      <c r="S12" s="56">
        <v>4439</v>
      </c>
      <c r="T12" s="56">
        <v>4380.5</v>
      </c>
      <c r="U12" s="56">
        <f>(U10+W10+V10+X10+Y10)/5</f>
        <v>4151.8</v>
      </c>
      <c r="V12" s="56">
        <f>(V10+X10+W10+Y10)/4</f>
        <v>4109</v>
      </c>
      <c r="W12" s="56">
        <f>(W10+Y10+X10)/3</f>
        <v>4072.6666666666665</v>
      </c>
      <c r="X12" s="56">
        <f>(X10+Y10)/2</f>
        <v>4051</v>
      </c>
      <c r="Y12" s="56">
        <v>3909</v>
      </c>
    </row>
    <row r="13" spans="1:26" x14ac:dyDescent="0.3">
      <c r="B13" s="60"/>
      <c r="C13" s="60"/>
      <c r="D13" s="60"/>
      <c r="E13" s="60"/>
      <c r="F13" s="60"/>
      <c r="G13" s="60"/>
      <c r="H13" s="60"/>
      <c r="I13" s="60"/>
      <c r="J13" s="60"/>
      <c r="K13" s="60"/>
      <c r="L13" s="61"/>
      <c r="M13" s="60"/>
      <c r="N13" s="61"/>
      <c r="O13" s="61"/>
      <c r="P13" s="61"/>
      <c r="Q13" s="58"/>
      <c r="R13" s="58"/>
      <c r="S13" s="58"/>
      <c r="T13" s="58"/>
      <c r="U13" s="56"/>
      <c r="V13" s="58"/>
      <c r="W13" s="58"/>
      <c r="X13" s="58"/>
      <c r="Y13" s="56"/>
    </row>
    <row r="14" spans="1:26" x14ac:dyDescent="0.3">
      <c r="A14" t="s">
        <v>39</v>
      </c>
      <c r="B14" s="60">
        <f>B6/273*365</f>
        <v>873.71373626373622</v>
      </c>
      <c r="C14" s="60">
        <f>C6/181*365</f>
        <v>915.52486187845307</v>
      </c>
      <c r="D14" s="60">
        <f>D6/90*365</f>
        <v>855.72222222222229</v>
      </c>
      <c r="E14" s="60">
        <f>E6/366*366</f>
        <v>860</v>
      </c>
      <c r="F14" s="60">
        <f>F6/274*366</f>
        <v>887.48649500605836</v>
      </c>
      <c r="G14" s="60">
        <f>G6/182*366</f>
        <v>897.43280811593411</v>
      </c>
      <c r="H14" s="60">
        <f>H6/91*366</f>
        <v>953.20879120879124</v>
      </c>
      <c r="I14" s="60">
        <f>I6/365*365</f>
        <v>732.00000000000011</v>
      </c>
      <c r="J14" s="60">
        <f>J6/273*365</f>
        <v>697.91208791208794</v>
      </c>
      <c r="K14" s="60">
        <f>K6/181*365</f>
        <v>681.60220994475139</v>
      </c>
      <c r="L14" s="60">
        <f>L6/90*365</f>
        <v>709.72222222222217</v>
      </c>
      <c r="M14" s="60">
        <f>M6/365*365</f>
        <v>578</v>
      </c>
      <c r="N14" s="60">
        <f>N6/273*365</f>
        <v>566.35886051098896</v>
      </c>
      <c r="O14" s="60">
        <f>O6/181*365</f>
        <v>552.71570998922641</v>
      </c>
      <c r="P14" s="60">
        <f>P6/90*365</f>
        <v>566.02954555111114</v>
      </c>
      <c r="Q14" s="56">
        <f>Q6/4*4</f>
        <v>468</v>
      </c>
      <c r="R14" s="56">
        <v>465.33333333333331</v>
      </c>
      <c r="S14" s="56">
        <v>468</v>
      </c>
      <c r="T14" s="56">
        <v>460</v>
      </c>
      <c r="U14" s="56">
        <f>U6/4*4</f>
        <v>343</v>
      </c>
      <c r="V14" s="56">
        <f>V6/3*4</f>
        <v>321.33333333333331</v>
      </c>
      <c r="W14" s="56">
        <f>W6*2</f>
        <v>288</v>
      </c>
      <c r="X14" s="56">
        <f>X6*4</f>
        <v>264</v>
      </c>
      <c r="Y14" s="56">
        <f>+Y6</f>
        <v>313</v>
      </c>
    </row>
    <row r="15" spans="1:26" x14ac:dyDescent="0.3">
      <c r="A15" s="28" t="s">
        <v>40</v>
      </c>
      <c r="B15" s="11">
        <f>B12</f>
        <v>6353.25</v>
      </c>
      <c r="C15" s="11">
        <f>C12</f>
        <v>6310.333333333333</v>
      </c>
      <c r="D15" s="11">
        <f>D12</f>
        <v>6318.5</v>
      </c>
      <c r="E15" s="11">
        <f>E12</f>
        <v>6156</v>
      </c>
      <c r="F15" s="11">
        <f t="shared" ref="F15:G15" si="14">F12</f>
        <v>6048.75</v>
      </c>
      <c r="G15" s="11">
        <f t="shared" si="14"/>
        <v>5936.666666666667</v>
      </c>
      <c r="H15" s="11">
        <f t="shared" ref="H15:I15" si="15">H12</f>
        <v>5825.5</v>
      </c>
      <c r="I15" s="11">
        <f t="shared" si="15"/>
        <v>5407.6</v>
      </c>
      <c r="J15" s="11">
        <f t="shared" ref="J15:K15" si="16">J12</f>
        <v>5333.75</v>
      </c>
      <c r="K15" s="11">
        <f t="shared" si="16"/>
        <v>5278.666666666667</v>
      </c>
      <c r="L15" s="11">
        <f t="shared" ref="L15:Q15" si="17">L12</f>
        <v>5261</v>
      </c>
      <c r="M15" s="11">
        <f t="shared" si="17"/>
        <v>4955.55</v>
      </c>
      <c r="N15" s="11">
        <f t="shared" si="17"/>
        <v>4900.9375</v>
      </c>
      <c r="O15" s="11">
        <f t="shared" si="17"/>
        <v>4861.75</v>
      </c>
      <c r="P15" s="11">
        <f t="shared" si="17"/>
        <v>4861.125</v>
      </c>
      <c r="Q15" s="54">
        <f t="shared" si="17"/>
        <v>4556.45</v>
      </c>
      <c r="R15" s="54">
        <v>4496.75</v>
      </c>
      <c r="S15" s="54">
        <v>4439</v>
      </c>
      <c r="T15" s="54">
        <v>4380.5</v>
      </c>
      <c r="U15" s="54">
        <f t="shared" ref="U15" si="18">U12</f>
        <v>4151.8</v>
      </c>
      <c r="V15" s="54">
        <f t="shared" ref="V15" si="19">V12</f>
        <v>4109</v>
      </c>
      <c r="W15" s="54">
        <f t="shared" ref="W15:X15" si="20">W12</f>
        <v>4072.6666666666665</v>
      </c>
      <c r="X15" s="54">
        <f t="shared" si="20"/>
        <v>4051</v>
      </c>
      <c r="Y15" s="54">
        <f t="shared" ref="Y15" si="21">Y12</f>
        <v>3909</v>
      </c>
    </row>
    <row r="16" spans="1:26" ht="15" thickBot="1" x14ac:dyDescent="0.35">
      <c r="A16" s="72" t="s">
        <v>41</v>
      </c>
      <c r="B16" s="16">
        <f>B14/B15</f>
        <v>0.13752232892830224</v>
      </c>
      <c r="C16" s="16">
        <f>C14/C15</f>
        <v>0.14508343910175686</v>
      </c>
      <c r="D16" s="16">
        <f>D14/D15</f>
        <v>0.13543122928261808</v>
      </c>
      <c r="E16" s="16">
        <f>E14/E15</f>
        <v>0.13970110461338531</v>
      </c>
      <c r="F16" s="16">
        <f t="shared" ref="F16:G16" si="22">F14/F15</f>
        <v>0.14672229716983812</v>
      </c>
      <c r="G16" s="16">
        <f t="shared" si="22"/>
        <v>0.15116779474159472</v>
      </c>
      <c r="H16" s="16">
        <f t="shared" ref="H16:I16" si="23">H14/H15</f>
        <v>0.1636269489672631</v>
      </c>
      <c r="I16" s="16">
        <f t="shared" si="23"/>
        <v>0.13536504179303205</v>
      </c>
      <c r="J16" s="16">
        <f t="shared" ref="J16:K16" si="24">J14/J15</f>
        <v>0.13084829396055081</v>
      </c>
      <c r="K16" s="16">
        <f t="shared" si="24"/>
        <v>0.12912393469526737</v>
      </c>
      <c r="L16" s="16">
        <f t="shared" ref="L16:Q16" si="25">L14/L15</f>
        <v>0.13490253226044899</v>
      </c>
      <c r="M16" s="16">
        <f t="shared" si="25"/>
        <v>0.11663690205930724</v>
      </c>
      <c r="N16" s="16">
        <f t="shared" si="25"/>
        <v>0.11556133097208217</v>
      </c>
      <c r="O16" s="16">
        <f t="shared" si="25"/>
        <v>0.11368657581924747</v>
      </c>
      <c r="P16" s="16">
        <f t="shared" si="25"/>
        <v>0.11644003097042581</v>
      </c>
      <c r="Q16" s="16">
        <f t="shared" si="25"/>
        <v>0.10271154078284631</v>
      </c>
      <c r="R16" s="16">
        <v>0.10348214451177702</v>
      </c>
      <c r="S16" s="16">
        <v>0.10642915070961928</v>
      </c>
      <c r="T16" s="16">
        <v>0.10501084351101472</v>
      </c>
      <c r="U16" s="16">
        <f>U14/U15</f>
        <v>8.2614769497567311E-2</v>
      </c>
      <c r="V16" s="16">
        <f>V14/V15</f>
        <v>7.820232011032692E-2</v>
      </c>
      <c r="W16" s="16">
        <f>W14/W15</f>
        <v>7.0715338025863481E-2</v>
      </c>
      <c r="X16" s="16">
        <f t="shared" ref="X16:Y16" si="26">X14/X15</f>
        <v>6.5169094050851639E-2</v>
      </c>
      <c r="Y16" s="16">
        <f t="shared" si="26"/>
        <v>8.0071629572780759E-2</v>
      </c>
    </row>
    <row r="17" spans="1:26" x14ac:dyDescent="0.3">
      <c r="A17" s="34"/>
      <c r="B17" s="67"/>
      <c r="C17" s="67"/>
      <c r="D17" s="67"/>
      <c r="E17" s="67"/>
      <c r="F17" s="67"/>
      <c r="G17" s="67"/>
      <c r="H17" s="67"/>
      <c r="I17" s="67"/>
      <c r="J17" s="67"/>
      <c r="K17" s="67"/>
      <c r="L17" s="67"/>
      <c r="M17" s="67"/>
      <c r="N17" s="67"/>
      <c r="O17" s="62"/>
      <c r="P17" s="62"/>
      <c r="Q17" s="36"/>
      <c r="R17" s="36"/>
      <c r="S17" s="36"/>
      <c r="T17" s="36"/>
      <c r="U17" s="36"/>
      <c r="V17" s="36"/>
      <c r="W17" s="36"/>
      <c r="X17" s="36"/>
      <c r="Y17" s="35"/>
    </row>
    <row r="18" spans="1:26" x14ac:dyDescent="0.3">
      <c r="E18" s="22"/>
      <c r="F18" s="22"/>
      <c r="G18" s="22"/>
      <c r="H18" s="22"/>
      <c r="I18" s="22"/>
      <c r="J18" s="22"/>
      <c r="K18" s="22"/>
      <c r="L18" s="22"/>
      <c r="M18" s="22"/>
      <c r="N18" s="22"/>
      <c r="O18" s="22"/>
    </row>
    <row r="19" spans="1:26" x14ac:dyDescent="0.3">
      <c r="A19" t="s">
        <v>42</v>
      </c>
      <c r="B19" s="60">
        <v>955</v>
      </c>
      <c r="C19" s="60">
        <v>642</v>
      </c>
      <c r="D19" s="60">
        <v>317</v>
      </c>
      <c r="E19" s="60">
        <v>1250</v>
      </c>
      <c r="F19" s="60">
        <v>930</v>
      </c>
      <c r="G19" s="60">
        <v>611</v>
      </c>
      <c r="H19" s="60">
        <v>308</v>
      </c>
      <c r="I19" s="60">
        <v>1166</v>
      </c>
      <c r="J19" s="60">
        <v>856</v>
      </c>
      <c r="K19" s="60">
        <v>551</v>
      </c>
      <c r="L19" s="60">
        <v>272</v>
      </c>
      <c r="M19" s="60">
        <v>933</v>
      </c>
      <c r="N19" s="60">
        <v>660</v>
      </c>
      <c r="O19" s="60">
        <v>424</v>
      </c>
      <c r="P19" s="60">
        <v>207</v>
      </c>
      <c r="Q19" s="56">
        <v>712</v>
      </c>
      <c r="R19" s="56">
        <v>529</v>
      </c>
      <c r="S19" s="56">
        <v>352</v>
      </c>
      <c r="T19" s="56">
        <v>171</v>
      </c>
      <c r="U19" s="56">
        <v>671</v>
      </c>
      <c r="V19" s="56">
        <f>335+166</f>
        <v>501</v>
      </c>
      <c r="W19" s="56">
        <f>177+158</f>
        <v>335</v>
      </c>
      <c r="X19" s="56">
        <v>177</v>
      </c>
      <c r="Y19" s="56">
        <v>630</v>
      </c>
    </row>
    <row r="20" spans="1:26" x14ac:dyDescent="0.3">
      <c r="A20" t="s">
        <v>43</v>
      </c>
      <c r="B20" s="57">
        <f>B19/273*365</f>
        <v>1276.8315018315018</v>
      </c>
      <c r="C20" s="57">
        <f>C19/181*365</f>
        <v>1294.6408839779006</v>
      </c>
      <c r="D20" s="57">
        <f>D19/90*365</f>
        <v>1285.6111111111111</v>
      </c>
      <c r="E20" s="57">
        <f>E19/366*366</f>
        <v>1250</v>
      </c>
      <c r="F20" s="57">
        <f>F19/274*366</f>
        <v>1242.2627737226278</v>
      </c>
      <c r="G20" s="57">
        <f>G19/182*366</f>
        <v>1228.7142857142858</v>
      </c>
      <c r="H20" s="57">
        <f>H19/91*366</f>
        <v>1238.7692307692307</v>
      </c>
      <c r="I20" s="57">
        <f>I19/365*365</f>
        <v>1166</v>
      </c>
      <c r="J20" s="57">
        <f>J19/273*365</f>
        <v>1144.4688644688645</v>
      </c>
      <c r="K20" s="57">
        <f>K19/181*365</f>
        <v>1111.1325966850829</v>
      </c>
      <c r="L20" s="57">
        <f>L19/90*365</f>
        <v>1103.1111111111111</v>
      </c>
      <c r="M20" s="57">
        <f>M19/365*365</f>
        <v>932.99999999999989</v>
      </c>
      <c r="N20" s="57">
        <f>N19/273*365</f>
        <v>882.41758241758237</v>
      </c>
      <c r="O20" s="57">
        <f>O19/181*365</f>
        <v>855.02762430939219</v>
      </c>
      <c r="P20" s="57">
        <f>P19/90*365</f>
        <v>839.49999999999989</v>
      </c>
      <c r="Q20" s="57">
        <f>+Q19/4*4</f>
        <v>712</v>
      </c>
      <c r="R20" s="57">
        <v>705.33333333333337</v>
      </c>
      <c r="S20" s="57">
        <v>704</v>
      </c>
      <c r="T20" s="57">
        <v>684</v>
      </c>
      <c r="U20" s="57">
        <f>+U19</f>
        <v>671</v>
      </c>
      <c r="V20" s="57">
        <f>+V19/3*4</f>
        <v>668</v>
      </c>
      <c r="W20" s="57">
        <f>+W19*2</f>
        <v>670</v>
      </c>
      <c r="X20" s="57">
        <f>+X19*4</f>
        <v>708</v>
      </c>
      <c r="Y20" s="57">
        <f>+Y19</f>
        <v>630</v>
      </c>
    </row>
    <row r="21" spans="1:26" x14ac:dyDescent="0.3">
      <c r="E21" s="22"/>
      <c r="F21" s="22"/>
      <c r="G21" s="22"/>
      <c r="H21" s="22"/>
      <c r="I21" s="22"/>
      <c r="J21" s="22"/>
      <c r="K21" s="22"/>
      <c r="L21" s="22"/>
      <c r="M21" s="22"/>
      <c r="N21" s="22"/>
      <c r="O21" s="22"/>
    </row>
    <row r="22" spans="1:26" x14ac:dyDescent="0.3">
      <c r="A22" t="s">
        <v>44</v>
      </c>
      <c r="B22" s="60">
        <v>54996</v>
      </c>
      <c r="C22" s="60">
        <v>55140</v>
      </c>
      <c r="D22" s="60">
        <v>53135</v>
      </c>
      <c r="E22" s="60">
        <v>52518</v>
      </c>
      <c r="F22" s="60">
        <v>51781</v>
      </c>
      <c r="G22" s="60">
        <v>51041</v>
      </c>
      <c r="H22" s="60">
        <v>48488</v>
      </c>
      <c r="I22" s="60">
        <v>47961</v>
      </c>
      <c r="J22" s="60">
        <v>47859</v>
      </c>
      <c r="K22" s="60">
        <v>46055</v>
      </c>
      <c r="L22" s="60">
        <v>45462</v>
      </c>
      <c r="M22" s="60">
        <v>44998</v>
      </c>
      <c r="N22" s="60">
        <v>44428</v>
      </c>
      <c r="O22" s="60">
        <v>44610</v>
      </c>
      <c r="P22" s="60">
        <v>42965</v>
      </c>
      <c r="Q22" s="56">
        <v>41876</v>
      </c>
      <c r="R22" s="56">
        <v>40482</v>
      </c>
      <c r="S22" s="56">
        <v>38202</v>
      </c>
      <c r="T22" s="56">
        <v>36797</v>
      </c>
      <c r="U22" s="56">
        <v>35767</v>
      </c>
      <c r="V22" s="56">
        <v>34871</v>
      </c>
      <c r="W22" s="56">
        <v>33816</v>
      </c>
      <c r="X22" s="56">
        <v>33303</v>
      </c>
      <c r="Y22" s="56">
        <v>31917</v>
      </c>
    </row>
    <row r="23" spans="1:26" x14ac:dyDescent="0.3">
      <c r="A23" t="s">
        <v>45</v>
      </c>
      <c r="B23" s="60">
        <f>(B22+C22+D22+E22)/4</f>
        <v>53947.25</v>
      </c>
      <c r="C23" s="60">
        <f>(C22+D22+E22)/3</f>
        <v>53597.666666666664</v>
      </c>
      <c r="D23" s="60">
        <f>(D22+E22)/2</f>
        <v>52826.5</v>
      </c>
      <c r="E23" s="60">
        <f>(E22+F22+G22+H22+I22)/5</f>
        <v>50357.8</v>
      </c>
      <c r="F23" s="60">
        <f>(F22+G22+H22+I22)/4</f>
        <v>49817.75</v>
      </c>
      <c r="G23" s="60">
        <f>(G22+H22+I22)/3</f>
        <v>49163.333333333336</v>
      </c>
      <c r="H23" s="60">
        <f>(H22+I22)/2</f>
        <v>48224.5</v>
      </c>
      <c r="I23" s="60">
        <f>(I22+J22+K22+L22+M22)/5</f>
        <v>46467</v>
      </c>
      <c r="J23" s="60">
        <f>(J22+K22+L22+M22)/4</f>
        <v>46093.5</v>
      </c>
      <c r="K23" s="60">
        <f>(K22+L22+M22)/3</f>
        <v>45505</v>
      </c>
      <c r="L23" s="60">
        <f>(L22+M22)/2</f>
        <v>45230</v>
      </c>
      <c r="M23" s="60">
        <f>(M22+N22+O22+P22+Q22)/5</f>
        <v>43775.4</v>
      </c>
      <c r="N23" s="60">
        <f>(N22+O22+P22+Q22)/4</f>
        <v>43469.75</v>
      </c>
      <c r="O23" s="60">
        <f>(O22+P22+Q22)/3</f>
        <v>43150.333333333336</v>
      </c>
      <c r="P23" s="60">
        <f>(P22+Q22)/2</f>
        <v>42420.5</v>
      </c>
      <c r="Q23" s="56">
        <f>AVERAGE(Q22:U22)</f>
        <v>38624.800000000003</v>
      </c>
      <c r="R23" s="56">
        <v>37812</v>
      </c>
      <c r="S23" s="56">
        <v>36922</v>
      </c>
      <c r="T23" s="56">
        <v>36282</v>
      </c>
      <c r="U23" s="56">
        <f>AVERAGE(U22:Y22)</f>
        <v>33934.800000000003</v>
      </c>
      <c r="V23" s="56">
        <f>AVERAGE(V22:Y22)</f>
        <v>33476.75</v>
      </c>
      <c r="W23" s="56">
        <f>AVERAGE(W22:Y22)</f>
        <v>33012</v>
      </c>
      <c r="X23" s="56">
        <f>AVERAGE(X22:Y22)</f>
        <v>32610</v>
      </c>
      <c r="Y23" s="57">
        <v>30314.6</v>
      </c>
    </row>
    <row r="24" spans="1:26" x14ac:dyDescent="0.3">
      <c r="E24" s="22"/>
      <c r="F24" s="22"/>
      <c r="G24" s="22"/>
      <c r="H24" s="22"/>
      <c r="I24" s="22"/>
      <c r="J24" s="22"/>
      <c r="K24" s="22"/>
      <c r="L24" s="22"/>
      <c r="M24" s="22"/>
      <c r="N24" s="22"/>
      <c r="O24" s="22"/>
      <c r="U24" s="18"/>
      <c r="V24" s="18"/>
      <c r="W24" s="18"/>
    </row>
    <row r="25" spans="1:26" ht="15" thickBot="1" x14ac:dyDescent="0.35">
      <c r="A25" s="29" t="s">
        <v>6</v>
      </c>
      <c r="B25" s="20">
        <f>+B20/B23</f>
        <v>2.3668148085982173E-2</v>
      </c>
      <c r="C25" s="20">
        <f>+C20/C23</f>
        <v>2.4154799350305685E-2</v>
      </c>
      <c r="D25" s="20">
        <f>+D20/D23</f>
        <v>2.433648095389835E-2</v>
      </c>
      <c r="E25" s="20">
        <f>+E20/E23</f>
        <v>2.4822371112320236E-2</v>
      </c>
      <c r="F25" s="20">
        <f t="shared" ref="F25:G25" si="27">+F20/F23</f>
        <v>2.4936147732939118E-2</v>
      </c>
      <c r="G25" s="20">
        <f t="shared" si="27"/>
        <v>2.4992493437811764E-2</v>
      </c>
      <c r="H25" s="20">
        <f t="shared" ref="H25:I25" si="28">+H20/H23</f>
        <v>2.5687549498060753E-2</v>
      </c>
      <c r="I25" s="20">
        <f t="shared" si="28"/>
        <v>2.5093076807196506E-2</v>
      </c>
      <c r="J25" s="20">
        <f t="shared" ref="J25:K25" si="29">+J20/J23</f>
        <v>2.4829289693099124E-2</v>
      </c>
      <c r="K25" s="20">
        <f t="shared" si="29"/>
        <v>2.441781335424861E-2</v>
      </c>
      <c r="L25" s="20">
        <f t="shared" ref="L25:Q25" si="30">+L20/L23</f>
        <v>2.4388925737588128E-2</v>
      </c>
      <c r="M25" s="20">
        <f t="shared" si="30"/>
        <v>2.1313340369248479E-2</v>
      </c>
      <c r="N25" s="20">
        <f t="shared" si="30"/>
        <v>2.0299578038005334E-2</v>
      </c>
      <c r="O25" s="20">
        <f t="shared" si="30"/>
        <v>1.9815087352961169E-2</v>
      </c>
      <c r="P25" s="20">
        <f t="shared" si="30"/>
        <v>1.9789960042903783E-2</v>
      </c>
      <c r="Q25" s="20">
        <f t="shared" si="30"/>
        <v>1.8433752407779457E-2</v>
      </c>
      <c r="R25" s="20">
        <v>1.8653690186536901E-2</v>
      </c>
      <c r="S25" s="20">
        <v>1.9067222793998157E-2</v>
      </c>
      <c r="T25" s="20">
        <v>1.8852323466181577E-2</v>
      </c>
      <c r="U25" s="20">
        <f t="shared" ref="U25:Y25" si="31">+U20/U23</f>
        <v>1.9773212159788771E-2</v>
      </c>
      <c r="V25" s="20">
        <f t="shared" si="31"/>
        <v>1.995414728132211E-2</v>
      </c>
      <c r="W25" s="20">
        <f t="shared" si="31"/>
        <v>2.0295650066642433E-2</v>
      </c>
      <c r="X25" s="20">
        <f t="shared" si="31"/>
        <v>2.1711131554737809E-2</v>
      </c>
      <c r="Y25" s="20">
        <f t="shared" si="31"/>
        <v>2.0782065407427445E-2</v>
      </c>
    </row>
    <row r="26" spans="1:26" x14ac:dyDescent="0.3">
      <c r="E26" s="22"/>
      <c r="F26" s="22"/>
      <c r="G26" s="22"/>
      <c r="H26" s="22"/>
      <c r="I26" s="22"/>
      <c r="J26" s="22"/>
      <c r="K26" s="22"/>
      <c r="L26" s="22"/>
      <c r="M26" s="22"/>
      <c r="N26" s="22"/>
      <c r="O26" s="22"/>
      <c r="U26" s="18"/>
      <c r="V26" s="18"/>
      <c r="W26" s="18"/>
    </row>
    <row r="27" spans="1:26" x14ac:dyDescent="0.3">
      <c r="E27" s="22"/>
      <c r="F27" s="22"/>
      <c r="G27" s="22"/>
      <c r="H27" s="22"/>
      <c r="I27" s="22"/>
      <c r="J27" s="22"/>
      <c r="K27" s="22"/>
      <c r="L27" s="22"/>
      <c r="M27" s="22"/>
      <c r="N27" s="22"/>
      <c r="O27" s="22"/>
      <c r="U27" s="18"/>
      <c r="V27" s="18"/>
      <c r="W27" s="18"/>
    </row>
    <row r="28" spans="1:26" x14ac:dyDescent="0.3">
      <c r="A28" t="s">
        <v>46</v>
      </c>
      <c r="B28" s="60">
        <v>288</v>
      </c>
      <c r="C28" s="60">
        <v>187</v>
      </c>
      <c r="D28" s="60">
        <v>89</v>
      </c>
      <c r="E28" s="60">
        <v>352</v>
      </c>
      <c r="F28" s="60">
        <v>257</v>
      </c>
      <c r="G28" s="60">
        <v>167</v>
      </c>
      <c r="H28" s="60">
        <v>80</v>
      </c>
      <c r="I28" s="60">
        <v>315</v>
      </c>
      <c r="J28" s="60">
        <v>234</v>
      </c>
      <c r="K28" s="60">
        <v>153</v>
      </c>
      <c r="L28" s="60">
        <v>75</v>
      </c>
      <c r="M28" s="60">
        <v>305</v>
      </c>
      <c r="N28" s="60">
        <v>227</v>
      </c>
      <c r="O28" s="60">
        <v>149</v>
      </c>
      <c r="P28" s="60">
        <v>73</v>
      </c>
      <c r="Q28" s="24">
        <v>285</v>
      </c>
      <c r="R28" s="24">
        <v>215</v>
      </c>
      <c r="S28" s="24">
        <v>143</v>
      </c>
      <c r="T28" s="24">
        <v>71</v>
      </c>
      <c r="U28" s="24">
        <v>292</v>
      </c>
      <c r="V28" s="24">
        <f>141+70</f>
        <v>211</v>
      </c>
      <c r="W28" s="24">
        <f>74+67</f>
        <v>141</v>
      </c>
      <c r="X28" s="24">
        <v>74</v>
      </c>
      <c r="Y28" s="24">
        <v>284</v>
      </c>
    </row>
    <row r="29" spans="1:26" x14ac:dyDescent="0.3">
      <c r="B29" s="60"/>
      <c r="C29" s="60"/>
      <c r="D29" s="60"/>
      <c r="E29" s="60"/>
      <c r="F29" s="60"/>
      <c r="G29" s="60"/>
      <c r="H29" s="60"/>
      <c r="I29" s="60"/>
      <c r="J29" s="60"/>
      <c r="K29" s="60"/>
      <c r="L29" s="60"/>
      <c r="M29" s="60"/>
      <c r="N29" s="61"/>
      <c r="O29" s="60"/>
      <c r="P29" s="60"/>
      <c r="Q29" s="24"/>
      <c r="R29" s="24"/>
      <c r="S29" s="24"/>
      <c r="T29" s="24"/>
      <c r="U29" s="24"/>
      <c r="V29" s="24"/>
      <c r="W29" s="24"/>
      <c r="X29" s="24"/>
      <c r="Y29" s="24"/>
      <c r="Z29" s="53"/>
    </row>
    <row r="30" spans="1:26" x14ac:dyDescent="0.3">
      <c r="A30" t="s">
        <v>42</v>
      </c>
      <c r="B30" s="60">
        <f>B19</f>
        <v>955</v>
      </c>
      <c r="C30" s="60">
        <f t="shared" ref="C30:H30" si="32">C19</f>
        <v>642</v>
      </c>
      <c r="D30" s="60">
        <f t="shared" si="32"/>
        <v>317</v>
      </c>
      <c r="E30" s="60">
        <f t="shared" si="32"/>
        <v>1250</v>
      </c>
      <c r="F30" s="60">
        <f t="shared" si="32"/>
        <v>930</v>
      </c>
      <c r="G30" s="60">
        <f t="shared" si="32"/>
        <v>611</v>
      </c>
      <c r="H30" s="60">
        <f t="shared" si="32"/>
        <v>308</v>
      </c>
      <c r="I30" s="60">
        <f t="shared" ref="I30:M30" si="33">I19</f>
        <v>1166</v>
      </c>
      <c r="J30" s="60">
        <f t="shared" si="33"/>
        <v>856</v>
      </c>
      <c r="K30" s="60">
        <f t="shared" si="33"/>
        <v>551</v>
      </c>
      <c r="L30" s="60">
        <f t="shared" si="33"/>
        <v>272</v>
      </c>
      <c r="M30" s="60">
        <f t="shared" si="33"/>
        <v>933</v>
      </c>
      <c r="N30" s="60">
        <v>660</v>
      </c>
      <c r="O30" s="60">
        <f>+O19</f>
        <v>424</v>
      </c>
      <c r="P30" s="60">
        <f>+P19</f>
        <v>207</v>
      </c>
      <c r="Q30" s="24">
        <f>+Q19</f>
        <v>712</v>
      </c>
      <c r="R30" s="24">
        <v>529</v>
      </c>
      <c r="S30" s="24">
        <v>352</v>
      </c>
      <c r="T30" s="24">
        <v>171</v>
      </c>
      <c r="U30" s="24">
        <v>671</v>
      </c>
      <c r="V30" s="24">
        <v>501</v>
      </c>
      <c r="W30" s="24">
        <v>335</v>
      </c>
      <c r="X30" s="24">
        <v>177</v>
      </c>
      <c r="Y30" s="24">
        <v>630</v>
      </c>
      <c r="Z30" s="53"/>
    </row>
    <row r="31" spans="1:26" x14ac:dyDescent="0.3">
      <c r="A31" s="28" t="s">
        <v>47</v>
      </c>
      <c r="B31" s="54">
        <v>231</v>
      </c>
      <c r="C31" s="54">
        <v>167</v>
      </c>
      <c r="D31" s="54">
        <v>61</v>
      </c>
      <c r="E31" s="54">
        <v>253</v>
      </c>
      <c r="F31" s="54">
        <v>204</v>
      </c>
      <c r="G31" s="54">
        <v>143</v>
      </c>
      <c r="H31" s="54">
        <v>82</v>
      </c>
      <c r="I31" s="54">
        <v>181</v>
      </c>
      <c r="J31" s="54">
        <v>129</v>
      </c>
      <c r="K31" s="54">
        <v>88</v>
      </c>
      <c r="L31" s="54">
        <v>47</v>
      </c>
      <c r="M31" s="54">
        <v>194</v>
      </c>
      <c r="N31" s="54">
        <v>160</v>
      </c>
      <c r="O31" s="54">
        <v>107</v>
      </c>
      <c r="P31" s="54">
        <v>65</v>
      </c>
      <c r="Q31" s="54">
        <v>187</v>
      </c>
      <c r="R31" s="54">
        <v>134</v>
      </c>
      <c r="S31" s="54">
        <v>84</v>
      </c>
      <c r="T31" s="54">
        <v>41</v>
      </c>
      <c r="U31" s="54">
        <v>163</v>
      </c>
      <c r="V31" s="54">
        <v>112</v>
      </c>
      <c r="W31" s="54">
        <v>63</v>
      </c>
      <c r="X31" s="54">
        <v>28</v>
      </c>
      <c r="Y31" s="54">
        <v>126</v>
      </c>
      <c r="Z31" s="53"/>
    </row>
    <row r="32" spans="1:26" x14ac:dyDescent="0.3">
      <c r="A32" s="28" t="s">
        <v>48</v>
      </c>
      <c r="B32" s="54">
        <f>SUM(B30:B31)</f>
        <v>1186</v>
      </c>
      <c r="C32" s="54">
        <f>SUM(C30:C31)</f>
        <v>809</v>
      </c>
      <c r="D32" s="54">
        <f>SUM(D30:D31)</f>
        <v>378</v>
      </c>
      <c r="E32" s="54">
        <f>SUM(E30:E31)</f>
        <v>1503</v>
      </c>
      <c r="F32" s="54">
        <f t="shared" ref="F32:G32" si="34">SUM(F30:F31)</f>
        <v>1134</v>
      </c>
      <c r="G32" s="54">
        <f t="shared" si="34"/>
        <v>754</v>
      </c>
      <c r="H32" s="54">
        <f t="shared" ref="H32:I32" si="35">SUM(H30:H31)</f>
        <v>390</v>
      </c>
      <c r="I32" s="54">
        <f t="shared" si="35"/>
        <v>1347</v>
      </c>
      <c r="J32" s="54">
        <f t="shared" ref="J32:K32" si="36">SUM(J30:J31)</f>
        <v>985</v>
      </c>
      <c r="K32" s="54">
        <f t="shared" si="36"/>
        <v>639</v>
      </c>
      <c r="L32" s="54">
        <f t="shared" ref="L32:Q32" si="37">SUM(L30:L31)</f>
        <v>319</v>
      </c>
      <c r="M32" s="54">
        <f t="shared" si="37"/>
        <v>1127</v>
      </c>
      <c r="N32" s="54">
        <f t="shared" si="37"/>
        <v>820</v>
      </c>
      <c r="O32" s="54">
        <f t="shared" si="37"/>
        <v>531</v>
      </c>
      <c r="P32" s="54">
        <f t="shared" si="37"/>
        <v>272</v>
      </c>
      <c r="Q32" s="54">
        <f t="shared" si="37"/>
        <v>899</v>
      </c>
      <c r="R32" s="54">
        <v>663</v>
      </c>
      <c r="S32" s="54">
        <v>436</v>
      </c>
      <c r="T32" s="54">
        <f t="shared" ref="T32:Y32" si="38">SUM(T30:T31)</f>
        <v>212</v>
      </c>
      <c r="U32" s="54">
        <f t="shared" si="38"/>
        <v>834</v>
      </c>
      <c r="V32" s="54">
        <f t="shared" si="38"/>
        <v>613</v>
      </c>
      <c r="W32" s="54">
        <f t="shared" si="38"/>
        <v>398</v>
      </c>
      <c r="X32" s="54">
        <f t="shared" si="38"/>
        <v>205</v>
      </c>
      <c r="Y32" s="54">
        <f t="shared" si="38"/>
        <v>756</v>
      </c>
    </row>
    <row r="33" spans="1:26" s="3" customFormat="1" ht="15" thickBot="1" x14ac:dyDescent="0.35">
      <c r="A33" s="29" t="s">
        <v>8</v>
      </c>
      <c r="B33" s="26">
        <f>B28/B32</f>
        <v>0.24283305227655985</v>
      </c>
      <c r="C33" s="26">
        <f>C28/C32</f>
        <v>0.23114956736711989</v>
      </c>
      <c r="D33" s="26">
        <f>D28/D32</f>
        <v>0.23544973544973544</v>
      </c>
      <c r="E33" s="26">
        <f>E28/E32</f>
        <v>0.23419827012641384</v>
      </c>
      <c r="F33" s="26">
        <f t="shared" ref="F33:G33" si="39">F28/F32</f>
        <v>0.22663139329805995</v>
      </c>
      <c r="G33" s="26">
        <f t="shared" si="39"/>
        <v>0.22148541114058357</v>
      </c>
      <c r="H33" s="26">
        <f t="shared" ref="H33:I33" si="40">H28/H32</f>
        <v>0.20512820512820512</v>
      </c>
      <c r="I33" s="26">
        <f t="shared" si="40"/>
        <v>0.23385300668151449</v>
      </c>
      <c r="J33" s="26">
        <f t="shared" ref="J33:K33" si="41">J28/J32</f>
        <v>0.23756345177664975</v>
      </c>
      <c r="K33" s="26">
        <f t="shared" si="41"/>
        <v>0.23943661971830985</v>
      </c>
      <c r="L33" s="26">
        <f t="shared" ref="L33:Q33" si="42">L28/L32</f>
        <v>0.23510971786833856</v>
      </c>
      <c r="M33" s="26">
        <f t="shared" si="42"/>
        <v>0.27062999112688552</v>
      </c>
      <c r="N33" s="26">
        <f t="shared" si="42"/>
        <v>0.27682926829268295</v>
      </c>
      <c r="O33" s="26">
        <f t="shared" si="42"/>
        <v>0.28060263653483991</v>
      </c>
      <c r="P33" s="26">
        <f t="shared" si="42"/>
        <v>0.26838235294117646</v>
      </c>
      <c r="Q33" s="26">
        <f t="shared" si="42"/>
        <v>0.31701890989988879</v>
      </c>
      <c r="R33" s="26">
        <v>0.32428355957767724</v>
      </c>
      <c r="S33" s="26">
        <v>0.32798165137614677</v>
      </c>
      <c r="T33" s="26">
        <v>0.33490566037735847</v>
      </c>
      <c r="U33" s="26">
        <f t="shared" ref="U33" si="43">U28/U32</f>
        <v>0.3501199040767386</v>
      </c>
      <c r="V33" s="26">
        <f t="shared" ref="V33" si="44">V28/V32</f>
        <v>0.3442088091353997</v>
      </c>
      <c r="W33" s="26">
        <f t="shared" ref="W33:Y33" si="45">W28/W32</f>
        <v>0.35427135678391958</v>
      </c>
      <c r="X33" s="26">
        <f t="shared" si="45"/>
        <v>0.36097560975609755</v>
      </c>
      <c r="Y33" s="26">
        <f t="shared" si="45"/>
        <v>0.37566137566137564</v>
      </c>
      <c r="Z33"/>
    </row>
    <row r="34" spans="1:26" x14ac:dyDescent="0.3">
      <c r="E34" s="22"/>
      <c r="F34" s="22"/>
      <c r="G34" s="22"/>
      <c r="H34" s="22"/>
      <c r="I34" s="22"/>
      <c r="J34" s="22"/>
      <c r="K34" s="22"/>
      <c r="L34" s="22"/>
      <c r="M34" s="22"/>
      <c r="O34" s="22"/>
    </row>
    <row r="35" spans="1:26" x14ac:dyDescent="0.3">
      <c r="E35" s="22"/>
      <c r="F35" s="22"/>
      <c r="G35" s="22"/>
      <c r="H35" s="22"/>
      <c r="I35" s="22"/>
      <c r="J35" s="22"/>
      <c r="K35" s="22"/>
      <c r="L35" s="22"/>
      <c r="M35" s="22"/>
      <c r="O35" s="22"/>
    </row>
    <row r="36" spans="1:26" x14ac:dyDescent="0.3">
      <c r="A36" t="s">
        <v>49</v>
      </c>
      <c r="B36" s="60">
        <v>28394</v>
      </c>
      <c r="C36" s="60">
        <v>27907</v>
      </c>
      <c r="D36" s="60">
        <v>26906</v>
      </c>
      <c r="E36" s="60">
        <v>26368</v>
      </c>
      <c r="F36" s="60">
        <v>25733</v>
      </c>
      <c r="G36" s="60">
        <v>25741</v>
      </c>
      <c r="H36" s="60">
        <v>24528</v>
      </c>
      <c r="I36" s="60">
        <v>24620</v>
      </c>
      <c r="J36" s="60">
        <v>25203</v>
      </c>
      <c r="K36" s="60">
        <v>24607</v>
      </c>
      <c r="L36" s="60">
        <v>23863</v>
      </c>
      <c r="M36" s="60">
        <v>23976</v>
      </c>
      <c r="N36" s="60">
        <v>24769</v>
      </c>
      <c r="O36" s="60">
        <v>24912</v>
      </c>
      <c r="P36" s="60">
        <v>23223</v>
      </c>
      <c r="Q36" s="24">
        <v>22287</v>
      </c>
      <c r="R36" s="24">
        <v>21233</v>
      </c>
      <c r="S36" s="24">
        <v>19140</v>
      </c>
      <c r="T36" s="24">
        <v>18122</v>
      </c>
      <c r="U36" s="24">
        <v>17627</v>
      </c>
      <c r="V36" s="24">
        <v>17334</v>
      </c>
      <c r="W36" s="24">
        <v>16810</v>
      </c>
      <c r="X36" s="24">
        <v>15953</v>
      </c>
      <c r="Y36" s="24">
        <v>15360</v>
      </c>
    </row>
    <row r="37" spans="1:26" x14ac:dyDescent="0.3">
      <c r="A37" s="28" t="s">
        <v>50</v>
      </c>
      <c r="B37" s="11">
        <v>43149</v>
      </c>
      <c r="C37" s="11">
        <v>44252</v>
      </c>
      <c r="D37" s="11">
        <v>43758</v>
      </c>
      <c r="E37" s="11">
        <v>42053</v>
      </c>
      <c r="F37" s="11">
        <v>41962</v>
      </c>
      <c r="G37" s="11">
        <v>40382</v>
      </c>
      <c r="H37" s="11">
        <v>39310</v>
      </c>
      <c r="I37" s="11">
        <v>38658</v>
      </c>
      <c r="J37" s="11">
        <v>37913</v>
      </c>
      <c r="K37" s="11">
        <v>37104</v>
      </c>
      <c r="L37" s="11">
        <v>36106</v>
      </c>
      <c r="M37" s="11">
        <v>36166</v>
      </c>
      <c r="N37" s="11">
        <v>35357</v>
      </c>
      <c r="O37" s="11">
        <v>34833</v>
      </c>
      <c r="P37" s="11">
        <v>33777</v>
      </c>
      <c r="Q37" s="54">
        <v>32472</v>
      </c>
      <c r="R37" s="54">
        <v>31092</v>
      </c>
      <c r="S37" s="54">
        <v>30728</v>
      </c>
      <c r="T37" s="54">
        <v>29351</v>
      </c>
      <c r="U37" s="54">
        <v>28069</v>
      </c>
      <c r="V37" s="54">
        <v>27360</v>
      </c>
      <c r="W37" s="54">
        <v>26218</v>
      </c>
      <c r="X37" s="54">
        <v>25612</v>
      </c>
      <c r="Y37" s="54">
        <v>25503</v>
      </c>
    </row>
    <row r="38" spans="1:26" ht="15" thickBot="1" x14ac:dyDescent="0.35">
      <c r="A38" s="31" t="s">
        <v>51</v>
      </c>
      <c r="B38" s="26">
        <f>B36/B37</f>
        <v>0.65804537764490489</v>
      </c>
      <c r="C38" s="26">
        <f>C36/C37</f>
        <v>0.63063816324685895</v>
      </c>
      <c r="D38" s="26">
        <f>D36/D37</f>
        <v>0.61488185017596786</v>
      </c>
      <c r="E38" s="26">
        <f>E36/E37</f>
        <v>0.62701828644805369</v>
      </c>
      <c r="F38" s="26">
        <f t="shared" ref="F38:G38" si="46">F36/F37</f>
        <v>0.61324531719174491</v>
      </c>
      <c r="G38" s="26">
        <f t="shared" si="46"/>
        <v>0.63743747214105295</v>
      </c>
      <c r="H38" s="26">
        <f t="shared" ref="H38:I38" si="47">H36/H37</f>
        <v>0.62396336809972019</v>
      </c>
      <c r="I38" s="26">
        <f t="shared" si="47"/>
        <v>0.63686688395674895</v>
      </c>
      <c r="J38" s="26">
        <f t="shared" ref="J38:K38" si="48">J36/J37</f>
        <v>0.66475878986099757</v>
      </c>
      <c r="K38" s="26">
        <f t="shared" si="48"/>
        <v>0.66318995256576108</v>
      </c>
      <c r="L38" s="26">
        <f t="shared" ref="L38:Q38" si="49">L36/L37</f>
        <v>0.66091508336564564</v>
      </c>
      <c r="M38" s="26">
        <f t="shared" si="49"/>
        <v>0.66294309572526677</v>
      </c>
      <c r="N38" s="26">
        <f t="shared" si="49"/>
        <v>0.70054020420284524</v>
      </c>
      <c r="O38" s="26">
        <f t="shared" si="49"/>
        <v>0.71518387735767808</v>
      </c>
      <c r="P38" s="26">
        <f t="shared" si="49"/>
        <v>0.68753885780264679</v>
      </c>
      <c r="Q38" s="26">
        <f t="shared" si="49"/>
        <v>0.68634515890613457</v>
      </c>
      <c r="R38" s="26">
        <v>0.68290878682619327</v>
      </c>
      <c r="S38" s="26">
        <v>0.62288466545170529</v>
      </c>
      <c r="T38" s="26">
        <v>0.61742359715171546</v>
      </c>
      <c r="U38" s="26">
        <f>U36/U37</f>
        <v>0.62798817200470269</v>
      </c>
      <c r="V38" s="26">
        <f>V36/V37</f>
        <v>0.63355263157894737</v>
      </c>
      <c r="W38" s="26">
        <f>W36/W37-0.001</f>
        <v>0.64016256007323213</v>
      </c>
      <c r="X38" s="26">
        <f>X36/X37-0.001</f>
        <v>0.62187209120724662</v>
      </c>
      <c r="Y38" s="26">
        <f>Y36/Y37-0.001</f>
        <v>0.60128208446065168</v>
      </c>
      <c r="Z38" s="59"/>
    </row>
    <row r="39" spans="1:26" x14ac:dyDescent="0.3">
      <c r="E39" s="22"/>
      <c r="F39" s="22"/>
      <c r="G39" s="22"/>
      <c r="H39" s="22"/>
      <c r="I39" s="22"/>
      <c r="J39" s="22"/>
      <c r="K39" s="22"/>
      <c r="L39" s="22"/>
      <c r="M39" s="22"/>
      <c r="N39" s="22"/>
      <c r="O39" s="22"/>
    </row>
    <row r="40" spans="1:26" x14ac:dyDescent="0.3">
      <c r="E40" s="22"/>
      <c r="F40" s="22"/>
      <c r="G40" s="22"/>
      <c r="H40" s="22"/>
      <c r="I40" s="22"/>
      <c r="J40" s="22"/>
      <c r="K40" s="22"/>
      <c r="L40" s="22"/>
      <c r="M40" s="22"/>
      <c r="N40" s="22"/>
      <c r="O40" s="22"/>
    </row>
    <row r="41" spans="1:26" x14ac:dyDescent="0.3">
      <c r="A41" s="22" t="s">
        <v>52</v>
      </c>
      <c r="B41" s="57">
        <v>43271</v>
      </c>
      <c r="C41" s="57">
        <v>44370</v>
      </c>
      <c r="D41" s="57">
        <v>43870</v>
      </c>
      <c r="E41" s="57">
        <v>42173</v>
      </c>
      <c r="F41" s="57">
        <v>42087</v>
      </c>
      <c r="G41" s="57">
        <v>40524</v>
      </c>
      <c r="H41" s="57">
        <v>39471</v>
      </c>
      <c r="I41" s="57">
        <v>38831</v>
      </c>
      <c r="J41" s="57">
        <v>38099</v>
      </c>
      <c r="K41" s="57">
        <v>37278</v>
      </c>
      <c r="L41" s="57">
        <v>36261</v>
      </c>
      <c r="M41" s="57">
        <v>36316</v>
      </c>
      <c r="N41" s="57">
        <v>35492</v>
      </c>
      <c r="O41" s="57">
        <v>34964</v>
      </c>
      <c r="P41" s="57">
        <v>33903</v>
      </c>
      <c r="Q41" s="57">
        <v>32583</v>
      </c>
      <c r="R41" s="57">
        <v>31207</v>
      </c>
      <c r="S41" s="57">
        <v>30843</v>
      </c>
      <c r="T41" s="57">
        <v>29474</v>
      </c>
      <c r="U41" s="57">
        <v>28222</v>
      </c>
      <c r="V41" s="57">
        <v>27519</v>
      </c>
      <c r="W41" s="57">
        <v>26406</v>
      </c>
      <c r="X41" s="57">
        <v>25792</v>
      </c>
      <c r="Y41" s="57">
        <v>25642</v>
      </c>
    </row>
    <row r="42" spans="1:26" x14ac:dyDescent="0.3">
      <c r="A42" s="32" t="s">
        <v>53</v>
      </c>
      <c r="B42" s="55">
        <f>F41</f>
        <v>42087</v>
      </c>
      <c r="C42" s="55">
        <f>G41</f>
        <v>40524</v>
      </c>
      <c r="D42" s="55">
        <f>H41</f>
        <v>39471</v>
      </c>
      <c r="E42" s="55">
        <f>I41</f>
        <v>38831</v>
      </c>
      <c r="F42" s="55">
        <f t="shared" ref="F42:P42" si="50">J41</f>
        <v>38099</v>
      </c>
      <c r="G42" s="55">
        <f t="shared" si="50"/>
        <v>37278</v>
      </c>
      <c r="H42" s="55">
        <f t="shared" si="50"/>
        <v>36261</v>
      </c>
      <c r="I42" s="55">
        <f t="shared" si="50"/>
        <v>36316</v>
      </c>
      <c r="J42" s="55">
        <f t="shared" si="50"/>
        <v>35492</v>
      </c>
      <c r="K42" s="55">
        <f t="shared" si="50"/>
        <v>34964</v>
      </c>
      <c r="L42" s="55">
        <f t="shared" si="50"/>
        <v>33903</v>
      </c>
      <c r="M42" s="55">
        <f t="shared" si="50"/>
        <v>32583</v>
      </c>
      <c r="N42" s="55">
        <f t="shared" si="50"/>
        <v>31207</v>
      </c>
      <c r="O42" s="55">
        <f t="shared" si="50"/>
        <v>30843</v>
      </c>
      <c r="P42" s="55">
        <f t="shared" si="50"/>
        <v>29474</v>
      </c>
      <c r="Q42" s="55">
        <f>+U41</f>
        <v>28222</v>
      </c>
      <c r="R42" s="55">
        <v>27519</v>
      </c>
      <c r="S42" s="55">
        <v>26406</v>
      </c>
      <c r="T42" s="55">
        <v>25792</v>
      </c>
      <c r="U42" s="55">
        <v>25642</v>
      </c>
      <c r="V42" s="55">
        <v>25443</v>
      </c>
      <c r="W42" s="55">
        <v>23292</v>
      </c>
      <c r="X42" s="55">
        <v>22318</v>
      </c>
      <c r="Y42" s="55">
        <v>22294</v>
      </c>
    </row>
    <row r="43" spans="1:26" x14ac:dyDescent="0.3">
      <c r="A43" s="22" t="s">
        <v>54</v>
      </c>
      <c r="B43" s="60">
        <f>B41-B42</f>
        <v>1184</v>
      </c>
      <c r="C43" s="60">
        <f>C41-C42</f>
        <v>3846</v>
      </c>
      <c r="D43" s="60">
        <f>D41-D42</f>
        <v>4399</v>
      </c>
      <c r="E43" s="60">
        <f>E41-E42</f>
        <v>3342</v>
      </c>
      <c r="F43" s="60">
        <f t="shared" ref="F43:G43" si="51">F41-F42</f>
        <v>3988</v>
      </c>
      <c r="G43" s="60">
        <f t="shared" si="51"/>
        <v>3246</v>
      </c>
      <c r="H43" s="60">
        <f t="shared" ref="H43:I43" si="52">H41-H42</f>
        <v>3210</v>
      </c>
      <c r="I43" s="60">
        <f t="shared" si="52"/>
        <v>2515</v>
      </c>
      <c r="J43" s="60">
        <f t="shared" ref="J43:K43" si="53">J41-J42</f>
        <v>2607</v>
      </c>
      <c r="K43" s="60">
        <f t="shared" si="53"/>
        <v>2314</v>
      </c>
      <c r="L43" s="60">
        <f t="shared" ref="L43:Q43" si="54">L41-L42</f>
        <v>2358</v>
      </c>
      <c r="M43" s="60">
        <f t="shared" si="54"/>
        <v>3733</v>
      </c>
      <c r="N43" s="60">
        <f t="shared" si="54"/>
        <v>4285</v>
      </c>
      <c r="O43" s="60">
        <f t="shared" si="54"/>
        <v>4121</v>
      </c>
      <c r="P43" s="60">
        <f t="shared" si="54"/>
        <v>4429</v>
      </c>
      <c r="Q43" s="24">
        <f t="shared" si="54"/>
        <v>4361</v>
      </c>
      <c r="R43" s="24">
        <v>3688</v>
      </c>
      <c r="S43" s="24">
        <v>4437</v>
      </c>
      <c r="T43" s="24">
        <v>3682</v>
      </c>
      <c r="U43" s="24">
        <f t="shared" ref="U43:Y43" si="55">U41-U42</f>
        <v>2580</v>
      </c>
      <c r="V43" s="24">
        <f t="shared" si="55"/>
        <v>2076</v>
      </c>
      <c r="W43" s="24">
        <f t="shared" si="55"/>
        <v>3114</v>
      </c>
      <c r="X43" s="24">
        <f t="shared" si="55"/>
        <v>3474</v>
      </c>
      <c r="Y43" s="24">
        <f t="shared" si="55"/>
        <v>3348</v>
      </c>
    </row>
    <row r="44" spans="1:26" x14ac:dyDescent="0.3">
      <c r="A44" s="22"/>
      <c r="E44" s="22"/>
      <c r="F44" s="22"/>
      <c r="G44" s="22"/>
      <c r="H44" s="22"/>
      <c r="I44" s="22"/>
      <c r="J44" s="22"/>
      <c r="K44" s="22"/>
      <c r="L44" s="22"/>
      <c r="M44" s="22"/>
      <c r="N44" s="22"/>
      <c r="O44" s="22"/>
      <c r="U44" s="22"/>
    </row>
    <row r="45" spans="1:26" ht="15" thickBot="1" x14ac:dyDescent="0.35">
      <c r="A45" s="29" t="s">
        <v>55</v>
      </c>
      <c r="B45" s="26">
        <f>B43/B42</f>
        <v>2.8132202342766175E-2</v>
      </c>
      <c r="C45" s="26">
        <f>C43/C42</f>
        <v>9.4906721942552563E-2</v>
      </c>
      <c r="D45" s="26">
        <f>D43/D42</f>
        <v>0.11144891185933976</v>
      </c>
      <c r="E45" s="26">
        <f>E43/E42</f>
        <v>8.6065257139913989E-2</v>
      </c>
      <c r="F45" s="26">
        <f t="shared" ref="F45:G45" si="56">F43/F42</f>
        <v>0.10467466337699152</v>
      </c>
      <c r="G45" s="26">
        <f t="shared" si="56"/>
        <v>8.707548688234347E-2</v>
      </c>
      <c r="H45" s="26">
        <f t="shared" ref="H45:I45" si="57">H43/H42</f>
        <v>8.8524861421361789E-2</v>
      </c>
      <c r="I45" s="26">
        <f t="shared" si="57"/>
        <v>6.9253221720453798E-2</v>
      </c>
      <c r="J45" s="26">
        <f t="shared" ref="J45:K45" si="58">J43/J42</f>
        <v>7.3453172545925843E-2</v>
      </c>
      <c r="K45" s="26">
        <f t="shared" si="58"/>
        <v>6.6182358997826332E-2</v>
      </c>
      <c r="L45" s="26">
        <f t="shared" ref="L45:Q45" si="59">L43/L42</f>
        <v>6.9551367135651715E-2</v>
      </c>
      <c r="M45" s="26">
        <f t="shared" si="59"/>
        <v>0.11456894699690022</v>
      </c>
      <c r="N45" s="26">
        <f t="shared" si="59"/>
        <v>0.1373089370974461</v>
      </c>
      <c r="O45" s="26">
        <f t="shared" si="59"/>
        <v>0.13361216483480853</v>
      </c>
      <c r="P45" s="26">
        <f t="shared" si="59"/>
        <v>0.15026803284250526</v>
      </c>
      <c r="Q45" s="26">
        <f t="shared" si="59"/>
        <v>0.15452483877825809</v>
      </c>
      <c r="R45" s="26">
        <v>0.13401649769250337</v>
      </c>
      <c r="S45" s="26">
        <v>0.16802999318336742</v>
      </c>
      <c r="T45" s="26">
        <v>0.14275744416873448</v>
      </c>
      <c r="U45" s="26">
        <f t="shared" ref="U45:X45" si="60">U43/U42</f>
        <v>0.10061617658528976</v>
      </c>
      <c r="V45" s="26">
        <f t="shared" si="60"/>
        <v>8.1594151633062134E-2</v>
      </c>
      <c r="W45" s="26">
        <f t="shared" si="60"/>
        <v>0.13369397217928902</v>
      </c>
      <c r="X45" s="26">
        <f t="shared" si="60"/>
        <v>0.15565910923917914</v>
      </c>
      <c r="Y45" s="26">
        <f>Y43/Y42</f>
        <v>0.15017493496007894</v>
      </c>
    </row>
    <row r="46" spans="1:26" x14ac:dyDescent="0.3">
      <c r="E46" s="22"/>
      <c r="F46" s="22"/>
      <c r="G46" s="22"/>
      <c r="H46" s="22"/>
      <c r="I46" s="22"/>
      <c r="J46" s="22"/>
      <c r="K46" s="22"/>
      <c r="L46" s="22"/>
      <c r="M46" s="22"/>
      <c r="N46" s="22"/>
      <c r="O46" s="22"/>
    </row>
    <row r="47" spans="1:26" x14ac:dyDescent="0.3">
      <c r="B47" s="57"/>
      <c r="C47" s="57"/>
      <c r="D47" s="57"/>
      <c r="E47" s="57"/>
      <c r="F47" s="57"/>
      <c r="G47" s="57"/>
      <c r="H47" s="57"/>
      <c r="I47" s="57"/>
      <c r="J47" s="57"/>
      <c r="K47" s="57"/>
      <c r="L47" s="57"/>
      <c r="M47" s="57"/>
      <c r="N47" s="57"/>
      <c r="O47" s="57"/>
      <c r="P47" s="52"/>
      <c r="Q47" s="52"/>
      <c r="R47" s="52"/>
      <c r="S47" s="52"/>
    </row>
    <row r="48" spans="1:26" x14ac:dyDescent="0.3">
      <c r="A48" s="22" t="s">
        <v>56</v>
      </c>
      <c r="B48" s="57">
        <f>B36</f>
        <v>28394</v>
      </c>
      <c r="C48" s="57">
        <f>C36</f>
        <v>27907</v>
      </c>
      <c r="D48" s="57">
        <f>D36</f>
        <v>26906</v>
      </c>
      <c r="E48" s="57">
        <f>E36</f>
        <v>26368</v>
      </c>
      <c r="F48" s="57">
        <f t="shared" ref="F48:J48" si="61">F36</f>
        <v>25733</v>
      </c>
      <c r="G48" s="57">
        <f t="shared" si="61"/>
        <v>25741</v>
      </c>
      <c r="H48" s="57">
        <f t="shared" si="61"/>
        <v>24528</v>
      </c>
      <c r="I48" s="57">
        <f t="shared" si="61"/>
        <v>24620</v>
      </c>
      <c r="J48" s="57">
        <f t="shared" si="61"/>
        <v>25203</v>
      </c>
      <c r="K48" s="57">
        <v>24607</v>
      </c>
      <c r="L48" s="57">
        <v>23863</v>
      </c>
      <c r="M48" s="57">
        <v>23976</v>
      </c>
      <c r="N48" s="57">
        <f>+N36</f>
        <v>24769</v>
      </c>
      <c r="O48" s="57">
        <f>+O36</f>
        <v>24912</v>
      </c>
      <c r="P48" s="57">
        <f>+P36</f>
        <v>23223</v>
      </c>
      <c r="Q48" s="57">
        <f>+Q36</f>
        <v>22287</v>
      </c>
      <c r="R48" s="57">
        <v>21233</v>
      </c>
      <c r="S48" s="57">
        <v>19140</v>
      </c>
      <c r="T48" s="57">
        <v>18122</v>
      </c>
      <c r="U48" s="57">
        <f>+U36</f>
        <v>17627</v>
      </c>
      <c r="V48" s="57">
        <f>+V36</f>
        <v>17334</v>
      </c>
      <c r="W48" s="57">
        <f t="shared" ref="W48:Y48" si="62">+W36</f>
        <v>16810</v>
      </c>
      <c r="X48" s="57">
        <f>+X36</f>
        <v>15953</v>
      </c>
      <c r="Y48" s="57">
        <f t="shared" si="62"/>
        <v>15360</v>
      </c>
    </row>
    <row r="49" spans="1:25" x14ac:dyDescent="0.3">
      <c r="A49" s="32" t="s">
        <v>57</v>
      </c>
      <c r="B49" s="55">
        <f>F48</f>
        <v>25733</v>
      </c>
      <c r="C49" s="55">
        <f>G48</f>
        <v>25741</v>
      </c>
      <c r="D49" s="55">
        <f>H48</f>
        <v>24528</v>
      </c>
      <c r="E49" s="55">
        <f>I48</f>
        <v>24620</v>
      </c>
      <c r="F49" s="55">
        <f t="shared" ref="F49:P49" si="63">J48</f>
        <v>25203</v>
      </c>
      <c r="G49" s="55">
        <f t="shared" si="63"/>
        <v>24607</v>
      </c>
      <c r="H49" s="55">
        <f t="shared" si="63"/>
        <v>23863</v>
      </c>
      <c r="I49" s="55">
        <f t="shared" si="63"/>
        <v>23976</v>
      </c>
      <c r="J49" s="55">
        <f t="shared" si="63"/>
        <v>24769</v>
      </c>
      <c r="K49" s="55">
        <f t="shared" si="63"/>
        <v>24912</v>
      </c>
      <c r="L49" s="55">
        <f t="shared" si="63"/>
        <v>23223</v>
      </c>
      <c r="M49" s="55">
        <f t="shared" si="63"/>
        <v>22287</v>
      </c>
      <c r="N49" s="55">
        <f t="shared" si="63"/>
        <v>21233</v>
      </c>
      <c r="O49" s="55">
        <f t="shared" si="63"/>
        <v>19140</v>
      </c>
      <c r="P49" s="55">
        <f t="shared" si="63"/>
        <v>18122</v>
      </c>
      <c r="Q49" s="55">
        <f>+U48</f>
        <v>17627</v>
      </c>
      <c r="R49" s="55">
        <v>17334</v>
      </c>
      <c r="S49" s="55">
        <v>16810</v>
      </c>
      <c r="T49" s="55">
        <v>15953</v>
      </c>
      <c r="U49" s="55">
        <f>Y48</f>
        <v>15360</v>
      </c>
      <c r="V49" s="55">
        <v>15452</v>
      </c>
      <c r="W49" s="55">
        <v>15468</v>
      </c>
      <c r="X49" s="55">
        <v>15106</v>
      </c>
      <c r="Y49" s="54">
        <v>14909</v>
      </c>
    </row>
    <row r="50" spans="1:25" x14ac:dyDescent="0.3">
      <c r="A50" s="22" t="s">
        <v>58</v>
      </c>
      <c r="B50" s="60">
        <f>B48-B49</f>
        <v>2661</v>
      </c>
      <c r="C50" s="60">
        <f>C48-C49</f>
        <v>2166</v>
      </c>
      <c r="D50" s="60">
        <f>D48-D49</f>
        <v>2378</v>
      </c>
      <c r="E50" s="60">
        <f>E48-E49</f>
        <v>1748</v>
      </c>
      <c r="F50" s="60">
        <f t="shared" ref="F50:G50" si="64">F48-F49</f>
        <v>530</v>
      </c>
      <c r="G50" s="60">
        <f t="shared" si="64"/>
        <v>1134</v>
      </c>
      <c r="H50" s="60">
        <f t="shared" ref="H50:I50" si="65">H48-H49</f>
        <v>665</v>
      </c>
      <c r="I50" s="60">
        <f t="shared" si="65"/>
        <v>644</v>
      </c>
      <c r="J50" s="60">
        <f t="shared" ref="J50:K50" si="66">J48-J49</f>
        <v>434</v>
      </c>
      <c r="K50" s="60">
        <f t="shared" si="66"/>
        <v>-305</v>
      </c>
      <c r="L50" s="60">
        <f t="shared" ref="L50:Q50" si="67">L48-L49</f>
        <v>640</v>
      </c>
      <c r="M50" s="60">
        <f t="shared" si="67"/>
        <v>1689</v>
      </c>
      <c r="N50" s="60">
        <f t="shared" si="67"/>
        <v>3536</v>
      </c>
      <c r="O50" s="60">
        <f t="shared" si="67"/>
        <v>5772</v>
      </c>
      <c r="P50" s="60">
        <f t="shared" si="67"/>
        <v>5101</v>
      </c>
      <c r="Q50" s="24">
        <f t="shared" si="67"/>
        <v>4660</v>
      </c>
      <c r="R50" s="24">
        <v>3899</v>
      </c>
      <c r="S50" s="24">
        <v>2330</v>
      </c>
      <c r="T50" s="24">
        <v>2169</v>
      </c>
      <c r="U50" s="24">
        <f t="shared" ref="U50:Y50" si="68">U48-U49</f>
        <v>2267</v>
      </c>
      <c r="V50" s="24">
        <f t="shared" si="68"/>
        <v>1882</v>
      </c>
      <c r="W50" s="24">
        <f t="shared" si="68"/>
        <v>1342</v>
      </c>
      <c r="X50" s="24">
        <f t="shared" si="68"/>
        <v>847</v>
      </c>
      <c r="Y50" s="24">
        <f t="shared" si="68"/>
        <v>451</v>
      </c>
    </row>
    <row r="51" spans="1:25" x14ac:dyDescent="0.3">
      <c r="A51" s="22"/>
      <c r="E51" s="22"/>
      <c r="F51" s="22"/>
      <c r="G51" s="22"/>
      <c r="H51" s="22"/>
      <c r="I51" s="22"/>
      <c r="J51" s="22"/>
      <c r="K51" s="22"/>
      <c r="L51" s="22"/>
      <c r="M51" s="22"/>
      <c r="N51" s="22"/>
      <c r="O51" s="22"/>
      <c r="U51" s="22"/>
    </row>
    <row r="52" spans="1:25" ht="15" thickBot="1" x14ac:dyDescent="0.35">
      <c r="A52" s="29" t="s">
        <v>13</v>
      </c>
      <c r="B52" s="26">
        <f>B50/B49</f>
        <v>0.10340807523413516</v>
      </c>
      <c r="C52" s="26">
        <f>C50/C49</f>
        <v>8.414591507711433E-2</v>
      </c>
      <c r="D52" s="26">
        <f>D50/D49</f>
        <v>9.6950424005218527E-2</v>
      </c>
      <c r="E52" s="26">
        <f>E50/E49</f>
        <v>7.0999187652315193E-2</v>
      </c>
      <c r="F52" s="26">
        <f t="shared" ref="F52:G52" si="69">F50/F49</f>
        <v>2.1029242550490022E-2</v>
      </c>
      <c r="G52" s="26">
        <f t="shared" si="69"/>
        <v>4.6084447514934776E-2</v>
      </c>
      <c r="H52" s="26">
        <f t="shared" ref="H52:I52" si="70">H50/H49</f>
        <v>2.7867409797594604E-2</v>
      </c>
      <c r="I52" s="26">
        <f t="shared" si="70"/>
        <v>2.6860193526860192E-2</v>
      </c>
      <c r="J52" s="26">
        <f t="shared" ref="J52:K52" si="71">J50/J49</f>
        <v>1.7521902377972465E-2</v>
      </c>
      <c r="K52" s="26">
        <f t="shared" si="71"/>
        <v>-1.2243095696852922E-2</v>
      </c>
      <c r="L52" s="26">
        <f t="shared" ref="L52:Q52" si="72">L50/L49</f>
        <v>2.7558885587564051E-2</v>
      </c>
      <c r="M52" s="26">
        <f t="shared" si="72"/>
        <v>7.578408937945888E-2</v>
      </c>
      <c r="N52" s="26">
        <f t="shared" si="72"/>
        <v>0.16653322658126501</v>
      </c>
      <c r="O52" s="26">
        <f t="shared" si="72"/>
        <v>0.30156739811912225</v>
      </c>
      <c r="P52" s="26">
        <f t="shared" si="72"/>
        <v>0.2814810727292793</v>
      </c>
      <c r="Q52" s="26">
        <f t="shared" si="72"/>
        <v>0.26436716400975774</v>
      </c>
      <c r="R52" s="26">
        <v>0.22493365639783086</v>
      </c>
      <c r="S52" s="26">
        <v>0.13860797144556811</v>
      </c>
      <c r="T52" s="26">
        <v>0.13596188804613552</v>
      </c>
      <c r="U52" s="26">
        <f t="shared" ref="U52:Y52" si="73">U50/U49</f>
        <v>0.14759114583333333</v>
      </c>
      <c r="V52" s="26">
        <f t="shared" si="73"/>
        <v>0.12179653119337303</v>
      </c>
      <c r="W52" s="26">
        <f t="shared" si="73"/>
        <v>8.6759762089475043E-2</v>
      </c>
      <c r="X52" s="26">
        <f t="shared" si="73"/>
        <v>5.6070435588507876E-2</v>
      </c>
      <c r="Y52" s="26">
        <f t="shared" si="73"/>
        <v>3.0250184452344221E-2</v>
      </c>
    </row>
    <row r="53" spans="1:25" x14ac:dyDescent="0.3">
      <c r="E53" s="22"/>
      <c r="F53" s="22"/>
      <c r="G53" s="22"/>
      <c r="H53" s="22"/>
      <c r="I53" s="22"/>
      <c r="J53" s="22"/>
      <c r="K53" s="22"/>
      <c r="L53" s="22"/>
      <c r="M53" s="22"/>
      <c r="N53" s="22"/>
      <c r="O53" s="22"/>
    </row>
    <row r="54" spans="1:25" x14ac:dyDescent="0.3">
      <c r="E54" s="22"/>
      <c r="F54" s="22"/>
      <c r="G54" s="22"/>
      <c r="H54" s="22"/>
      <c r="I54" s="22"/>
      <c r="J54" s="22"/>
      <c r="K54" s="22"/>
      <c r="L54" s="22"/>
      <c r="M54" s="22"/>
      <c r="N54" s="22"/>
      <c r="O54" s="22"/>
    </row>
    <row r="55" spans="1:25" x14ac:dyDescent="0.3">
      <c r="A55" t="s">
        <v>44</v>
      </c>
      <c r="B55" s="57">
        <f>+B22</f>
        <v>54996</v>
      </c>
      <c r="C55" s="57">
        <f>+C22</f>
        <v>55140</v>
      </c>
      <c r="D55" s="57">
        <f>+D22</f>
        <v>53135</v>
      </c>
      <c r="E55" s="57">
        <f>+E22</f>
        <v>52518</v>
      </c>
      <c r="F55" s="57">
        <f t="shared" ref="F55:G55" si="74">+F22</f>
        <v>51781</v>
      </c>
      <c r="G55" s="57">
        <f t="shared" si="74"/>
        <v>51041</v>
      </c>
      <c r="H55" s="57">
        <f t="shared" ref="H55:I55" si="75">+H22</f>
        <v>48488</v>
      </c>
      <c r="I55" s="57">
        <f t="shared" si="75"/>
        <v>47961</v>
      </c>
      <c r="J55" s="57">
        <f t="shared" ref="J55:K55" si="76">+J22</f>
        <v>47859</v>
      </c>
      <c r="K55" s="57">
        <f t="shared" si="76"/>
        <v>46055</v>
      </c>
      <c r="L55" s="57">
        <f t="shared" ref="L55:Q55" si="77">+L22</f>
        <v>45462</v>
      </c>
      <c r="M55" s="57">
        <f t="shared" si="77"/>
        <v>44998</v>
      </c>
      <c r="N55" s="57">
        <f t="shared" si="77"/>
        <v>44428</v>
      </c>
      <c r="O55" s="57">
        <f t="shared" si="77"/>
        <v>44610</v>
      </c>
      <c r="P55" s="57">
        <f t="shared" si="77"/>
        <v>42965</v>
      </c>
      <c r="Q55" s="57">
        <f t="shared" si="77"/>
        <v>41876</v>
      </c>
      <c r="R55" s="57">
        <v>40482</v>
      </c>
      <c r="S55" s="57">
        <v>38202</v>
      </c>
      <c r="T55" s="57">
        <v>36797</v>
      </c>
      <c r="U55" s="57">
        <v>35767</v>
      </c>
      <c r="V55" s="57">
        <v>34871</v>
      </c>
      <c r="W55" s="57">
        <v>33816</v>
      </c>
      <c r="X55" s="57">
        <v>33303</v>
      </c>
      <c r="Y55" s="57">
        <v>31917</v>
      </c>
    </row>
    <row r="56" spans="1:25" ht="15" thickBot="1" x14ac:dyDescent="0.35">
      <c r="A56" s="29" t="s">
        <v>59</v>
      </c>
      <c r="B56" s="40">
        <f>(B55+C55+D55+E55)/4</f>
        <v>53947.25</v>
      </c>
      <c r="C56" s="40">
        <f>(C55+D55+E55)/3</f>
        <v>53597.666666666664</v>
      </c>
      <c r="D56" s="40">
        <f>(D55+E55)/2</f>
        <v>52826.5</v>
      </c>
      <c r="E56" s="40">
        <f>(E55+F55+G55+H55+I55)/5</f>
        <v>50357.8</v>
      </c>
      <c r="F56" s="40">
        <f>(F55+G55+H55+I55)/4</f>
        <v>49817.75</v>
      </c>
      <c r="G56" s="40">
        <f>(G55+H55+I55)/3</f>
        <v>49163.333333333336</v>
      </c>
      <c r="H56" s="40">
        <f>(H55+I55)/2</f>
        <v>48224.5</v>
      </c>
      <c r="I56" s="40">
        <f>(I55+J55+K55+L55+M55)/5</f>
        <v>46467</v>
      </c>
      <c r="J56" s="40">
        <f>(J55+K55+L55+M55)/4</f>
        <v>46093.5</v>
      </c>
      <c r="K56" s="40">
        <f>(K55+L55+M55)/3</f>
        <v>45505</v>
      </c>
      <c r="L56" s="40">
        <f>(L55+M55)/2</f>
        <v>45230</v>
      </c>
      <c r="M56" s="40">
        <f>(M55+N55+O55+P55+Q55)/5</f>
        <v>43775.4</v>
      </c>
      <c r="N56" s="40">
        <f>(N55+O55+P55+Q55)/4</f>
        <v>43469.75</v>
      </c>
      <c r="O56" s="40">
        <f>(O55+P55+Q55)/3</f>
        <v>43150.333333333336</v>
      </c>
      <c r="P56" s="40">
        <f>AVERAGE(P55:Q55)</f>
        <v>42420.5</v>
      </c>
      <c r="Q56" s="40">
        <f>AVERAGE(Q55:U55)</f>
        <v>38624.800000000003</v>
      </c>
      <c r="R56" s="40">
        <v>37812</v>
      </c>
      <c r="S56" s="40">
        <v>36922</v>
      </c>
      <c r="T56" s="40">
        <f>AVERAGE(T55:U55)</f>
        <v>36282</v>
      </c>
      <c r="U56" s="40">
        <f>AVERAGE(U55:Y55)</f>
        <v>33934.800000000003</v>
      </c>
      <c r="V56" s="40">
        <f>AVERAGE(V55:Y55)</f>
        <v>33476.75</v>
      </c>
      <c r="W56" s="40">
        <f>AVERAGE(W55:Y55)</f>
        <v>33012</v>
      </c>
      <c r="X56" s="40">
        <f>AVERAGE(X55:Y55)</f>
        <v>32610</v>
      </c>
      <c r="Y56" s="40">
        <v>30315</v>
      </c>
    </row>
    <row r="57" spans="1:25" x14ac:dyDescent="0.3">
      <c r="E57" s="22"/>
      <c r="F57" s="22"/>
      <c r="G57" s="22"/>
      <c r="H57" s="22"/>
      <c r="I57" s="22"/>
      <c r="J57" s="22"/>
      <c r="K57" s="22"/>
      <c r="L57" s="22"/>
      <c r="M57" s="22"/>
      <c r="N57" s="22"/>
      <c r="O57" s="22"/>
    </row>
    <row r="58" spans="1:25" x14ac:dyDescent="0.3">
      <c r="B58" s="57"/>
      <c r="C58" s="57"/>
      <c r="D58" s="57"/>
      <c r="E58" s="57"/>
      <c r="F58" s="57"/>
      <c r="G58" s="57"/>
      <c r="H58" s="57"/>
      <c r="I58" s="57"/>
      <c r="J58" s="57"/>
      <c r="K58" s="57"/>
      <c r="L58" s="57"/>
      <c r="M58" s="57"/>
      <c r="N58" s="57"/>
      <c r="O58" s="57"/>
      <c r="P58" s="52"/>
      <c r="Q58" s="52"/>
      <c r="R58" s="52"/>
      <c r="S58" s="52"/>
    </row>
    <row r="59" spans="1:25" x14ac:dyDescent="0.3">
      <c r="A59" t="s">
        <v>60</v>
      </c>
      <c r="B59" s="60">
        <f>+B41</f>
        <v>43271</v>
      </c>
      <c r="C59" s="60">
        <f>+C41</f>
        <v>44370</v>
      </c>
      <c r="D59" s="60">
        <f>+D41</f>
        <v>43870</v>
      </c>
      <c r="E59" s="60">
        <f>+E41</f>
        <v>42173</v>
      </c>
      <c r="F59" s="60">
        <f t="shared" ref="F59:G59" si="78">+F41</f>
        <v>42087</v>
      </c>
      <c r="G59" s="60">
        <f t="shared" si="78"/>
        <v>40524</v>
      </c>
      <c r="H59" s="60">
        <f t="shared" ref="H59:I59" si="79">+H41</f>
        <v>39471</v>
      </c>
      <c r="I59" s="60">
        <f t="shared" si="79"/>
        <v>38831</v>
      </c>
      <c r="J59" s="60">
        <f t="shared" ref="J59:K59" si="80">+J41</f>
        <v>38099</v>
      </c>
      <c r="K59" s="60">
        <f t="shared" si="80"/>
        <v>37278</v>
      </c>
      <c r="L59" s="60">
        <f t="shared" ref="L59:Q59" si="81">+L41</f>
        <v>36261</v>
      </c>
      <c r="M59" s="60">
        <f t="shared" si="81"/>
        <v>36316</v>
      </c>
      <c r="N59" s="60">
        <f t="shared" si="81"/>
        <v>35492</v>
      </c>
      <c r="O59" s="60">
        <f t="shared" si="81"/>
        <v>34964</v>
      </c>
      <c r="P59" s="60">
        <f t="shared" si="81"/>
        <v>33903</v>
      </c>
      <c r="Q59" s="24">
        <f t="shared" si="81"/>
        <v>32583</v>
      </c>
      <c r="R59" s="24">
        <v>31207</v>
      </c>
      <c r="S59" s="24">
        <v>30843</v>
      </c>
      <c r="T59" s="24">
        <v>29474</v>
      </c>
      <c r="U59" s="24">
        <v>28222</v>
      </c>
      <c r="V59" s="24">
        <v>27519</v>
      </c>
      <c r="W59" s="24">
        <v>26406</v>
      </c>
      <c r="X59" s="24">
        <v>25792</v>
      </c>
      <c r="Y59" s="24">
        <v>25600</v>
      </c>
    </row>
    <row r="60" spans="1:25" x14ac:dyDescent="0.3">
      <c r="A60" t="s">
        <v>104</v>
      </c>
      <c r="B60" s="60">
        <v>20716</v>
      </c>
      <c r="C60" s="60">
        <v>20394</v>
      </c>
      <c r="D60" s="60">
        <v>20142</v>
      </c>
      <c r="E60" s="60">
        <v>19966</v>
      </c>
      <c r="F60" s="60">
        <v>19211</v>
      </c>
      <c r="G60" s="60">
        <v>19149</v>
      </c>
      <c r="H60" s="60">
        <v>18894</v>
      </c>
      <c r="I60" s="60">
        <v>18448</v>
      </c>
      <c r="J60" s="60">
        <v>18205</v>
      </c>
      <c r="K60" s="60">
        <v>18171</v>
      </c>
      <c r="L60" s="60">
        <v>18199</v>
      </c>
      <c r="M60" s="60">
        <v>17742</v>
      </c>
      <c r="N60" s="60">
        <v>16956</v>
      </c>
      <c r="O60" s="60">
        <v>16705</v>
      </c>
      <c r="P60" s="60">
        <v>16259</v>
      </c>
      <c r="Q60" s="24">
        <v>15991</v>
      </c>
      <c r="R60" s="24">
        <v>15299</v>
      </c>
      <c r="S60" s="24">
        <v>14970</v>
      </c>
      <c r="T60" s="24">
        <v>14802</v>
      </c>
      <c r="U60" s="24">
        <v>14489</v>
      </c>
      <c r="V60" s="24">
        <v>14116</v>
      </c>
      <c r="W60" s="24">
        <v>13764</v>
      </c>
      <c r="X60" s="24">
        <v>13873</v>
      </c>
      <c r="Y60" s="24">
        <v>12892</v>
      </c>
    </row>
    <row r="61" spans="1:25" x14ac:dyDescent="0.3">
      <c r="A61" t="s">
        <v>105</v>
      </c>
      <c r="B61" s="60">
        <v>3709</v>
      </c>
      <c r="C61" s="60">
        <v>3561</v>
      </c>
      <c r="D61" s="60">
        <v>3722</v>
      </c>
      <c r="E61" s="60">
        <v>3719</v>
      </c>
      <c r="F61" s="60">
        <v>3573</v>
      </c>
      <c r="G61" s="60">
        <v>3724</v>
      </c>
      <c r="H61" s="60">
        <v>3729</v>
      </c>
      <c r="I61" s="60">
        <v>3732</v>
      </c>
      <c r="J61" s="60">
        <v>3638</v>
      </c>
      <c r="K61" s="60">
        <v>3551</v>
      </c>
      <c r="L61" s="60">
        <v>3054</v>
      </c>
      <c r="M61" s="60">
        <v>3061</v>
      </c>
      <c r="N61" s="60">
        <v>3107</v>
      </c>
      <c r="O61" s="60">
        <v>2873</v>
      </c>
      <c r="P61" s="60">
        <v>3231</v>
      </c>
      <c r="Q61" s="24">
        <v>3271</v>
      </c>
      <c r="R61" s="24">
        <v>3412</v>
      </c>
      <c r="S61" s="24">
        <v>3629</v>
      </c>
      <c r="T61" s="24">
        <v>3926</v>
      </c>
      <c r="U61" s="24">
        <v>4008</v>
      </c>
      <c r="V61" s="24">
        <v>4123</v>
      </c>
      <c r="W61" s="24">
        <v>4226</v>
      </c>
      <c r="X61" s="24">
        <v>4058</v>
      </c>
      <c r="Y61" s="24">
        <v>4086</v>
      </c>
    </row>
    <row r="62" spans="1:25" ht="15" thickBot="1" x14ac:dyDescent="0.35">
      <c r="A62" s="29" t="s">
        <v>19</v>
      </c>
      <c r="B62" s="40">
        <f>SUM(B59:B61)</f>
        <v>67696</v>
      </c>
      <c r="C62" s="40">
        <f>SUM(C59:C61)</f>
        <v>68325</v>
      </c>
      <c r="D62" s="40">
        <f>SUM(D59:D61)</f>
        <v>67734</v>
      </c>
      <c r="E62" s="40">
        <f>SUM(E59:E61)</f>
        <v>65858</v>
      </c>
      <c r="F62" s="40">
        <f t="shared" ref="F62:G62" si="82">SUM(F59:F61)</f>
        <v>64871</v>
      </c>
      <c r="G62" s="40">
        <f t="shared" si="82"/>
        <v>63397</v>
      </c>
      <c r="H62" s="40">
        <f t="shared" ref="H62:I62" si="83">SUM(H59:H61)</f>
        <v>62094</v>
      </c>
      <c r="I62" s="40">
        <f t="shared" si="83"/>
        <v>61011</v>
      </c>
      <c r="J62" s="40">
        <f t="shared" ref="J62:K62" si="84">SUM(J59:J61)</f>
        <v>59942</v>
      </c>
      <c r="K62" s="40">
        <f t="shared" si="84"/>
        <v>59000</v>
      </c>
      <c r="L62" s="40">
        <f t="shared" ref="L62:Q62" si="85">SUM(L59:L61)</f>
        <v>57514</v>
      </c>
      <c r="M62" s="40">
        <f t="shared" si="85"/>
        <v>57119</v>
      </c>
      <c r="N62" s="40">
        <f t="shared" si="85"/>
        <v>55555</v>
      </c>
      <c r="O62" s="40">
        <f t="shared" si="85"/>
        <v>54542</v>
      </c>
      <c r="P62" s="40">
        <f t="shared" si="85"/>
        <v>53393</v>
      </c>
      <c r="Q62" s="40">
        <f t="shared" si="85"/>
        <v>51845</v>
      </c>
      <c r="R62" s="40">
        <v>49918</v>
      </c>
      <c r="S62" s="40">
        <v>49442</v>
      </c>
      <c r="T62" s="40">
        <v>48202</v>
      </c>
      <c r="U62" s="40">
        <f t="shared" ref="U62:Y62" si="86">SUM(U59:U61)</f>
        <v>46719</v>
      </c>
      <c r="V62" s="40">
        <f t="shared" si="86"/>
        <v>45758</v>
      </c>
      <c r="W62" s="40">
        <f t="shared" si="86"/>
        <v>44396</v>
      </c>
      <c r="X62" s="40">
        <f t="shared" si="86"/>
        <v>43723</v>
      </c>
      <c r="Y62" s="40">
        <f t="shared" si="86"/>
        <v>42578</v>
      </c>
    </row>
    <row r="63" spans="1:25" x14ac:dyDescent="0.3">
      <c r="E63" s="22"/>
      <c r="F63" s="22"/>
      <c r="G63" s="22"/>
      <c r="H63" s="22"/>
      <c r="I63" s="22"/>
      <c r="J63" s="22"/>
      <c r="K63" s="22"/>
      <c r="L63" s="22"/>
      <c r="M63" s="22"/>
      <c r="N63" s="22"/>
      <c r="O63" s="22"/>
    </row>
    <row r="64" spans="1:25" x14ac:dyDescent="0.3">
      <c r="E64" s="22"/>
      <c r="F64" s="22"/>
      <c r="G64" s="22"/>
      <c r="H64" s="22"/>
      <c r="I64" s="22"/>
      <c r="J64" s="22"/>
      <c r="K64" s="22"/>
      <c r="L64" s="22"/>
      <c r="M64" s="22"/>
      <c r="N64" s="22"/>
      <c r="O64" s="22"/>
    </row>
    <row r="65" spans="1:25" ht="28.8" x14ac:dyDescent="0.3">
      <c r="A65" s="10" t="s">
        <v>61</v>
      </c>
      <c r="B65" s="57">
        <f>+B62</f>
        <v>67696</v>
      </c>
      <c r="C65" s="57">
        <f>+C62</f>
        <v>68325</v>
      </c>
      <c r="D65" s="57">
        <f>+D62</f>
        <v>67734</v>
      </c>
      <c r="E65" s="57">
        <f>+E62</f>
        <v>65858</v>
      </c>
      <c r="F65" s="57">
        <f t="shared" ref="F65:G65" si="87">+F62</f>
        <v>64871</v>
      </c>
      <c r="G65" s="57">
        <f t="shared" si="87"/>
        <v>63397</v>
      </c>
      <c r="H65" s="57">
        <f t="shared" ref="H65:I65" si="88">+H62</f>
        <v>62094</v>
      </c>
      <c r="I65" s="57">
        <f t="shared" si="88"/>
        <v>61011</v>
      </c>
      <c r="J65" s="57">
        <f t="shared" ref="J65:K65" si="89">+J62</f>
        <v>59942</v>
      </c>
      <c r="K65" s="57">
        <f t="shared" si="89"/>
        <v>59000</v>
      </c>
      <c r="L65" s="57">
        <f t="shared" ref="L65:Q65" si="90">+L62</f>
        <v>57514</v>
      </c>
      <c r="M65" s="57">
        <f t="shared" si="90"/>
        <v>57119</v>
      </c>
      <c r="N65" s="57">
        <f t="shared" si="90"/>
        <v>55555</v>
      </c>
      <c r="O65" s="57">
        <f t="shared" si="90"/>
        <v>54542</v>
      </c>
      <c r="P65" s="57">
        <f t="shared" si="90"/>
        <v>53393</v>
      </c>
      <c r="Q65" s="57">
        <f t="shared" si="90"/>
        <v>51845</v>
      </c>
      <c r="R65" s="57">
        <v>49918</v>
      </c>
      <c r="S65" s="57">
        <v>49442</v>
      </c>
      <c r="T65" s="57">
        <v>48202</v>
      </c>
      <c r="U65" s="57">
        <f t="shared" ref="U65:Y65" si="91">+U62</f>
        <v>46719</v>
      </c>
      <c r="V65" s="57">
        <f t="shared" si="91"/>
        <v>45758</v>
      </c>
      <c r="W65" s="57">
        <f t="shared" si="91"/>
        <v>44396</v>
      </c>
      <c r="X65" s="57">
        <f t="shared" si="91"/>
        <v>43723</v>
      </c>
      <c r="Y65" s="57">
        <f t="shared" si="91"/>
        <v>42578</v>
      </c>
    </row>
    <row r="66" spans="1:25" ht="28.8" x14ac:dyDescent="0.3">
      <c r="A66" s="12" t="s">
        <v>62</v>
      </c>
      <c r="B66" s="55">
        <f t="shared" ref="B66:G66" si="92">+F65</f>
        <v>64871</v>
      </c>
      <c r="C66" s="55">
        <f t="shared" si="92"/>
        <v>63397</v>
      </c>
      <c r="D66" s="55">
        <f t="shared" si="92"/>
        <v>62094</v>
      </c>
      <c r="E66" s="55">
        <f t="shared" si="92"/>
        <v>61011</v>
      </c>
      <c r="F66" s="55">
        <f t="shared" si="92"/>
        <v>59942</v>
      </c>
      <c r="G66" s="55">
        <f t="shared" si="92"/>
        <v>59000</v>
      </c>
      <c r="H66" s="55">
        <f t="shared" ref="H66:Q66" si="93">+L65</f>
        <v>57514</v>
      </c>
      <c r="I66" s="55">
        <f t="shared" si="93"/>
        <v>57119</v>
      </c>
      <c r="J66" s="55">
        <f t="shared" si="93"/>
        <v>55555</v>
      </c>
      <c r="K66" s="55">
        <f t="shared" si="93"/>
        <v>54542</v>
      </c>
      <c r="L66" s="55">
        <f t="shared" si="93"/>
        <v>53393</v>
      </c>
      <c r="M66" s="55">
        <f t="shared" si="93"/>
        <v>51845</v>
      </c>
      <c r="N66" s="55">
        <f t="shared" si="93"/>
        <v>49918</v>
      </c>
      <c r="O66" s="55">
        <f t="shared" si="93"/>
        <v>49442</v>
      </c>
      <c r="P66" s="55">
        <f t="shared" si="93"/>
        <v>48202</v>
      </c>
      <c r="Q66" s="55">
        <f t="shared" si="93"/>
        <v>46719</v>
      </c>
      <c r="R66" s="55">
        <v>45758</v>
      </c>
      <c r="S66" s="55">
        <v>44396</v>
      </c>
      <c r="T66" s="55">
        <v>43723</v>
      </c>
      <c r="U66" s="55">
        <f>Y65</f>
        <v>42578</v>
      </c>
      <c r="V66" s="55">
        <v>42323</v>
      </c>
      <c r="W66" s="55">
        <v>39860</v>
      </c>
      <c r="X66" s="55">
        <v>38508</v>
      </c>
      <c r="Y66" s="55">
        <v>38851</v>
      </c>
    </row>
    <row r="67" spans="1:25" x14ac:dyDescent="0.3">
      <c r="A67" t="s">
        <v>63</v>
      </c>
      <c r="B67" s="57">
        <f t="shared" ref="B67:G67" si="94">B65-B66</f>
        <v>2825</v>
      </c>
      <c r="C67" s="57">
        <f t="shared" si="94"/>
        <v>4928</v>
      </c>
      <c r="D67" s="57">
        <f t="shared" si="94"/>
        <v>5640</v>
      </c>
      <c r="E67" s="57">
        <f t="shared" si="94"/>
        <v>4847</v>
      </c>
      <c r="F67" s="57">
        <f t="shared" si="94"/>
        <v>4929</v>
      </c>
      <c r="G67" s="57">
        <f t="shared" si="94"/>
        <v>4397</v>
      </c>
      <c r="H67" s="57">
        <f t="shared" ref="H67:I67" si="95">H65-H66</f>
        <v>4580</v>
      </c>
      <c r="I67" s="57">
        <f t="shared" si="95"/>
        <v>3892</v>
      </c>
      <c r="J67" s="57">
        <f t="shared" ref="J67:K67" si="96">J65-J66</f>
        <v>4387</v>
      </c>
      <c r="K67" s="57">
        <f t="shared" si="96"/>
        <v>4458</v>
      </c>
      <c r="L67" s="57">
        <f t="shared" ref="L67:Q67" si="97">L65-L66</f>
        <v>4121</v>
      </c>
      <c r="M67" s="57">
        <f t="shared" si="97"/>
        <v>5274</v>
      </c>
      <c r="N67" s="57">
        <f t="shared" si="97"/>
        <v>5637</v>
      </c>
      <c r="O67" s="57">
        <f t="shared" si="97"/>
        <v>5100</v>
      </c>
      <c r="P67" s="57">
        <f t="shared" si="97"/>
        <v>5191</v>
      </c>
      <c r="Q67" s="57">
        <f t="shared" si="97"/>
        <v>5126</v>
      </c>
      <c r="R67" s="57">
        <v>4160</v>
      </c>
      <c r="S67" s="57">
        <v>5046</v>
      </c>
      <c r="T67" s="57">
        <v>4479</v>
      </c>
      <c r="U67" s="57">
        <f t="shared" ref="U67:Y67" si="98">U65-U66</f>
        <v>4141</v>
      </c>
      <c r="V67" s="57">
        <f t="shared" si="98"/>
        <v>3435</v>
      </c>
      <c r="W67" s="57">
        <f t="shared" si="98"/>
        <v>4536</v>
      </c>
      <c r="X67" s="57">
        <f t="shared" si="98"/>
        <v>5215</v>
      </c>
      <c r="Y67" s="57">
        <f t="shared" si="98"/>
        <v>3727</v>
      </c>
    </row>
    <row r="68" spans="1:25" ht="28.8" x14ac:dyDescent="0.3">
      <c r="A68" s="12" t="s">
        <v>64</v>
      </c>
      <c r="B68" s="55">
        <f t="shared" ref="B68:G68" si="99">B66</f>
        <v>64871</v>
      </c>
      <c r="C68" s="55">
        <f t="shared" si="99"/>
        <v>63397</v>
      </c>
      <c r="D68" s="55">
        <f t="shared" si="99"/>
        <v>62094</v>
      </c>
      <c r="E68" s="55">
        <f t="shared" si="99"/>
        <v>61011</v>
      </c>
      <c r="F68" s="55">
        <f t="shared" si="99"/>
        <v>59942</v>
      </c>
      <c r="G68" s="55">
        <f t="shared" si="99"/>
        <v>59000</v>
      </c>
      <c r="H68" s="55">
        <f t="shared" ref="H68:I68" si="100">H66</f>
        <v>57514</v>
      </c>
      <c r="I68" s="55">
        <f t="shared" si="100"/>
        <v>57119</v>
      </c>
      <c r="J68" s="55">
        <f t="shared" ref="J68:K68" si="101">J66</f>
        <v>55555</v>
      </c>
      <c r="K68" s="55">
        <f t="shared" si="101"/>
        <v>54542</v>
      </c>
      <c r="L68" s="55">
        <f t="shared" ref="L68:Q68" si="102">L66</f>
        <v>53393</v>
      </c>
      <c r="M68" s="55">
        <f t="shared" si="102"/>
        <v>51845</v>
      </c>
      <c r="N68" s="55">
        <f t="shared" si="102"/>
        <v>49918</v>
      </c>
      <c r="O68" s="55">
        <f t="shared" si="102"/>
        <v>49442</v>
      </c>
      <c r="P68" s="55">
        <f t="shared" si="102"/>
        <v>48202</v>
      </c>
      <c r="Q68" s="55">
        <f t="shared" si="102"/>
        <v>46719</v>
      </c>
      <c r="R68" s="55">
        <v>45758</v>
      </c>
      <c r="S68" s="55">
        <v>44396</v>
      </c>
      <c r="T68" s="55">
        <v>43723</v>
      </c>
      <c r="U68" s="55">
        <f t="shared" ref="U68:Y68" si="103">U66</f>
        <v>42578</v>
      </c>
      <c r="V68" s="55">
        <f t="shared" si="103"/>
        <v>42323</v>
      </c>
      <c r="W68" s="55">
        <f t="shared" si="103"/>
        <v>39860</v>
      </c>
      <c r="X68" s="55">
        <f t="shared" si="103"/>
        <v>38508</v>
      </c>
      <c r="Y68" s="55">
        <f t="shared" si="103"/>
        <v>38851</v>
      </c>
    </row>
    <row r="69" spans="1:25" ht="15" thickBot="1" x14ac:dyDescent="0.35">
      <c r="A69" s="30" t="s">
        <v>20</v>
      </c>
      <c r="B69" s="19">
        <f t="shared" ref="B69:G69" si="104">B67/B68</f>
        <v>4.3547964421698449E-2</v>
      </c>
      <c r="C69" s="19">
        <f t="shared" si="104"/>
        <v>7.7732384813161512E-2</v>
      </c>
      <c r="D69" s="19">
        <f t="shared" si="104"/>
        <v>9.0830031887138854E-2</v>
      </c>
      <c r="E69" s="19">
        <f t="shared" si="104"/>
        <v>7.944469030174886E-2</v>
      </c>
      <c r="F69" s="19">
        <f t="shared" si="104"/>
        <v>8.2229488505555365E-2</v>
      </c>
      <c r="G69" s="19">
        <f t="shared" si="104"/>
        <v>7.4525423728813558E-2</v>
      </c>
      <c r="H69" s="19">
        <f t="shared" ref="H69:I69" si="105">H67/H68</f>
        <v>7.9632785061028624E-2</v>
      </c>
      <c r="I69" s="19">
        <f t="shared" si="105"/>
        <v>6.8138447801957311E-2</v>
      </c>
      <c r="J69" s="19">
        <f t="shared" ref="J69:K69" si="106">J67/J68</f>
        <v>7.8966789667896678E-2</v>
      </c>
      <c r="K69" s="19">
        <f t="shared" si="106"/>
        <v>8.1735176561182205E-2</v>
      </c>
      <c r="L69" s="19">
        <f t="shared" ref="L69:Q69" si="107">L67/L68</f>
        <v>7.7182402187552679E-2</v>
      </c>
      <c r="M69" s="19">
        <f t="shared" si="107"/>
        <v>0.10172629954672582</v>
      </c>
      <c r="N69" s="19">
        <f t="shared" si="107"/>
        <v>0.11292519732361073</v>
      </c>
      <c r="O69" s="19">
        <f t="shared" si="107"/>
        <v>0.1031511670239877</v>
      </c>
      <c r="P69" s="19">
        <f t="shared" si="107"/>
        <v>0.10769262686195594</v>
      </c>
      <c r="Q69" s="19">
        <f t="shared" si="107"/>
        <v>0.10971981420835206</v>
      </c>
      <c r="R69" s="19">
        <v>9.0913064382184536E-2</v>
      </c>
      <c r="S69" s="19">
        <v>0.11365888818812506</v>
      </c>
      <c r="T69" s="19">
        <v>0.10244036319557212</v>
      </c>
      <c r="U69" s="19">
        <f t="shared" ref="U69:X69" si="108">U67/U68</f>
        <v>9.7256799286016257E-2</v>
      </c>
      <c r="V69" s="19">
        <f t="shared" si="108"/>
        <v>8.1161543368853811E-2</v>
      </c>
      <c r="W69" s="19">
        <f t="shared" si="108"/>
        <v>0.11379829402910185</v>
      </c>
      <c r="X69" s="19">
        <f t="shared" si="108"/>
        <v>0.13542640490287733</v>
      </c>
      <c r="Y69" s="19">
        <f>Y67/Y68+0.001</f>
        <v>9.693060667679082E-2</v>
      </c>
    </row>
    <row r="70" spans="1:25" x14ac:dyDescent="0.3">
      <c r="E70" s="22"/>
      <c r="F70" s="22"/>
      <c r="G70" s="22"/>
      <c r="H70" s="22"/>
      <c r="I70" s="22"/>
      <c r="J70" s="22"/>
      <c r="K70" s="22"/>
      <c r="L70" s="22"/>
      <c r="M70" s="22"/>
      <c r="N70" s="22"/>
      <c r="O70" s="22"/>
    </row>
    <row r="71" spans="1:25" x14ac:dyDescent="0.3">
      <c r="E71" s="22"/>
      <c r="F71" s="22"/>
      <c r="G71" s="22"/>
      <c r="H71" s="22"/>
      <c r="I71" s="22"/>
      <c r="J71" s="22"/>
      <c r="K71" s="22"/>
      <c r="L71" s="22"/>
      <c r="M71" s="22"/>
      <c r="N71" s="22"/>
      <c r="O71" s="22"/>
    </row>
    <row r="72" spans="1:25" ht="28.8" x14ac:dyDescent="0.3">
      <c r="A72" s="10" t="s">
        <v>61</v>
      </c>
      <c r="B72" s="57">
        <f t="shared" ref="B72:G72" si="109">+B65</f>
        <v>67696</v>
      </c>
      <c r="C72" s="57">
        <f t="shared" si="109"/>
        <v>68325</v>
      </c>
      <c r="D72" s="57">
        <f t="shared" si="109"/>
        <v>67734</v>
      </c>
      <c r="E72" s="57">
        <f t="shared" si="109"/>
        <v>65858</v>
      </c>
      <c r="F72" s="57">
        <f t="shared" si="109"/>
        <v>64871</v>
      </c>
      <c r="G72" s="57">
        <f t="shared" si="109"/>
        <v>63397</v>
      </c>
      <c r="H72" s="57">
        <f t="shared" ref="H72:I72" si="110">+H65</f>
        <v>62094</v>
      </c>
      <c r="I72" s="57">
        <f t="shared" si="110"/>
        <v>61011</v>
      </c>
      <c r="J72" s="57">
        <f t="shared" ref="J72:K72" si="111">+J65</f>
        <v>59942</v>
      </c>
      <c r="K72" s="57">
        <f t="shared" si="111"/>
        <v>59000</v>
      </c>
      <c r="L72" s="57">
        <f t="shared" ref="L72:Q72" si="112">+L65</f>
        <v>57514</v>
      </c>
      <c r="M72" s="57">
        <f t="shared" si="112"/>
        <v>57119</v>
      </c>
      <c r="N72" s="57">
        <f t="shared" si="112"/>
        <v>55555</v>
      </c>
      <c r="O72" s="57">
        <f t="shared" si="112"/>
        <v>54542</v>
      </c>
      <c r="P72" s="57">
        <f t="shared" si="112"/>
        <v>53393</v>
      </c>
      <c r="Q72" s="57">
        <f t="shared" si="112"/>
        <v>51845</v>
      </c>
      <c r="R72" s="57">
        <v>49918</v>
      </c>
      <c r="S72" s="57">
        <v>49442</v>
      </c>
      <c r="T72" s="57">
        <v>48202</v>
      </c>
      <c r="U72" s="57">
        <f>+U65</f>
        <v>46719</v>
      </c>
      <c r="V72" s="57">
        <f t="shared" ref="V72:Y72" si="113">+V65</f>
        <v>45758</v>
      </c>
      <c r="W72" s="57">
        <f t="shared" si="113"/>
        <v>44396</v>
      </c>
      <c r="X72" s="57">
        <f t="shared" si="113"/>
        <v>43723</v>
      </c>
      <c r="Y72" s="57">
        <f t="shared" si="113"/>
        <v>42578</v>
      </c>
    </row>
    <row r="73" spans="1:25" x14ac:dyDescent="0.3">
      <c r="A73" s="12" t="s">
        <v>65</v>
      </c>
      <c r="B73" s="55">
        <f>+B41-B37</f>
        <v>122</v>
      </c>
      <c r="C73" s="55">
        <f>+C41-C37</f>
        <v>118</v>
      </c>
      <c r="D73" s="55">
        <f>+D41-D37</f>
        <v>112</v>
      </c>
      <c r="E73" s="55">
        <f>+E41-E37</f>
        <v>120</v>
      </c>
      <c r="F73" s="55">
        <f t="shared" ref="F73:G73" si="114">+F41-F37</f>
        <v>125</v>
      </c>
      <c r="G73" s="55">
        <f t="shared" si="114"/>
        <v>142</v>
      </c>
      <c r="H73" s="55">
        <f t="shared" ref="H73:I73" si="115">+H41-H37</f>
        <v>161</v>
      </c>
      <c r="I73" s="55">
        <f t="shared" si="115"/>
        <v>173</v>
      </c>
      <c r="J73" s="55">
        <f t="shared" ref="J73:K73" si="116">+J41-J37</f>
        <v>186</v>
      </c>
      <c r="K73" s="55">
        <f t="shared" si="116"/>
        <v>174</v>
      </c>
      <c r="L73" s="55">
        <f t="shared" ref="L73:Q73" si="117">+L41-L37</f>
        <v>155</v>
      </c>
      <c r="M73" s="55">
        <f t="shared" si="117"/>
        <v>150</v>
      </c>
      <c r="N73" s="55">
        <f t="shared" si="117"/>
        <v>135</v>
      </c>
      <c r="O73" s="55">
        <f t="shared" si="117"/>
        <v>131</v>
      </c>
      <c r="P73" s="55">
        <f t="shared" si="117"/>
        <v>126</v>
      </c>
      <c r="Q73" s="55">
        <f t="shared" si="117"/>
        <v>111</v>
      </c>
      <c r="R73" s="55">
        <v>115</v>
      </c>
      <c r="S73" s="55">
        <f t="shared" ref="S73:Y73" si="118">+S41-S37</f>
        <v>115</v>
      </c>
      <c r="T73" s="55">
        <f t="shared" si="118"/>
        <v>123</v>
      </c>
      <c r="U73" s="55">
        <f t="shared" si="118"/>
        <v>153</v>
      </c>
      <c r="V73" s="55">
        <f t="shared" si="118"/>
        <v>159</v>
      </c>
      <c r="W73" s="55">
        <f t="shared" si="118"/>
        <v>188</v>
      </c>
      <c r="X73" s="55">
        <f t="shared" si="118"/>
        <v>180</v>
      </c>
      <c r="Y73" s="55">
        <f t="shared" si="118"/>
        <v>139</v>
      </c>
    </row>
    <row r="74" spans="1:25" ht="28.8" x14ac:dyDescent="0.3">
      <c r="A74" s="10" t="s">
        <v>66</v>
      </c>
      <c r="B74" s="57">
        <f>+B72-B73</f>
        <v>67574</v>
      </c>
      <c r="C74" s="57">
        <f>+C72-C73</f>
        <v>68207</v>
      </c>
      <c r="D74" s="57">
        <f>+D72-D73</f>
        <v>67622</v>
      </c>
      <c r="E74" s="57">
        <f>+E72-E73</f>
        <v>65738</v>
      </c>
      <c r="F74" s="57">
        <f t="shared" ref="F74:G74" si="119">+F72-F73</f>
        <v>64746</v>
      </c>
      <c r="G74" s="57">
        <f t="shared" si="119"/>
        <v>63255</v>
      </c>
      <c r="H74" s="57">
        <f t="shared" ref="H74:I74" si="120">+H72-H73</f>
        <v>61933</v>
      </c>
      <c r="I74" s="57">
        <f t="shared" si="120"/>
        <v>60838</v>
      </c>
      <c r="J74" s="57">
        <f t="shared" ref="J74:K74" si="121">+J72-J73</f>
        <v>59756</v>
      </c>
      <c r="K74" s="57">
        <f t="shared" si="121"/>
        <v>58826</v>
      </c>
      <c r="L74" s="57">
        <f t="shared" ref="L74:Q74" si="122">+L72-L73</f>
        <v>57359</v>
      </c>
      <c r="M74" s="57">
        <f t="shared" si="122"/>
        <v>56969</v>
      </c>
      <c r="N74" s="57">
        <f t="shared" si="122"/>
        <v>55420</v>
      </c>
      <c r="O74" s="57">
        <f t="shared" si="122"/>
        <v>54411</v>
      </c>
      <c r="P74" s="57">
        <f t="shared" si="122"/>
        <v>53267</v>
      </c>
      <c r="Q74" s="57">
        <f t="shared" si="122"/>
        <v>51734</v>
      </c>
      <c r="R74" s="57">
        <v>49803</v>
      </c>
      <c r="S74" s="57">
        <f t="shared" ref="S74:Y74" si="123">+S72-S73</f>
        <v>49327</v>
      </c>
      <c r="T74" s="57">
        <f t="shared" si="123"/>
        <v>48079</v>
      </c>
      <c r="U74" s="57">
        <f t="shared" si="123"/>
        <v>46566</v>
      </c>
      <c r="V74" s="57">
        <f t="shared" si="123"/>
        <v>45599</v>
      </c>
      <c r="W74" s="57">
        <f t="shared" si="123"/>
        <v>44208</v>
      </c>
      <c r="X74" s="57">
        <f t="shared" si="123"/>
        <v>43543</v>
      </c>
      <c r="Y74" s="57">
        <f t="shared" si="123"/>
        <v>42439</v>
      </c>
    </row>
    <row r="75" spans="1:25" x14ac:dyDescent="0.3">
      <c r="A75" s="12" t="s">
        <v>67</v>
      </c>
      <c r="B75" s="55">
        <f>+B48</f>
        <v>28394</v>
      </c>
      <c r="C75" s="55">
        <f>+C48</f>
        <v>27907</v>
      </c>
      <c r="D75" s="55">
        <f>+D48</f>
        <v>26906</v>
      </c>
      <c r="E75" s="55">
        <f>+E48</f>
        <v>26368</v>
      </c>
      <c r="F75" s="55">
        <f t="shared" ref="F75:G75" si="124">+F48</f>
        <v>25733</v>
      </c>
      <c r="G75" s="55">
        <f t="shared" si="124"/>
        <v>25741</v>
      </c>
      <c r="H75" s="55">
        <f t="shared" ref="H75:I75" si="125">+H48</f>
        <v>24528</v>
      </c>
      <c r="I75" s="55">
        <f t="shared" si="125"/>
        <v>24620</v>
      </c>
      <c r="J75" s="55">
        <f t="shared" ref="J75:K75" si="126">+J48</f>
        <v>25203</v>
      </c>
      <c r="K75" s="55">
        <f t="shared" si="126"/>
        <v>24607</v>
      </c>
      <c r="L75" s="55">
        <f t="shared" ref="L75:Q75" si="127">+L48</f>
        <v>23863</v>
      </c>
      <c r="M75" s="55">
        <f t="shared" si="127"/>
        <v>23976</v>
      </c>
      <c r="N75" s="55">
        <f t="shared" si="127"/>
        <v>24769</v>
      </c>
      <c r="O75" s="55">
        <f t="shared" si="127"/>
        <v>24912</v>
      </c>
      <c r="P75" s="55">
        <f t="shared" si="127"/>
        <v>23223</v>
      </c>
      <c r="Q75" s="55">
        <f t="shared" si="127"/>
        <v>22287</v>
      </c>
      <c r="R75" s="55">
        <v>21233</v>
      </c>
      <c r="S75" s="55">
        <v>19140</v>
      </c>
      <c r="T75" s="55">
        <v>18122</v>
      </c>
      <c r="U75" s="55">
        <f t="shared" ref="U75:Y75" si="128">+U48</f>
        <v>17627</v>
      </c>
      <c r="V75" s="55">
        <f t="shared" si="128"/>
        <v>17334</v>
      </c>
      <c r="W75" s="55">
        <f t="shared" si="128"/>
        <v>16810</v>
      </c>
      <c r="X75" s="55">
        <f t="shared" si="128"/>
        <v>15953</v>
      </c>
      <c r="Y75" s="55">
        <f t="shared" si="128"/>
        <v>15360</v>
      </c>
    </row>
    <row r="76" spans="1:25" ht="29.4" thickBot="1" x14ac:dyDescent="0.35">
      <c r="A76" s="15" t="s">
        <v>68</v>
      </c>
      <c r="B76" s="19">
        <f>+B75/B74</f>
        <v>0.42019119779796965</v>
      </c>
      <c r="C76" s="19">
        <f>+C75/C74</f>
        <v>0.40915155335962583</v>
      </c>
      <c r="D76" s="19">
        <f>+D75/D74</f>
        <v>0.39788826121676379</v>
      </c>
      <c r="E76" s="19">
        <f>+E75/E74</f>
        <v>0.40110742645045483</v>
      </c>
      <c r="F76" s="19">
        <f t="shared" ref="F76:G76" si="129">+F75/F74</f>
        <v>0.39744540203255802</v>
      </c>
      <c r="G76" s="19">
        <f t="shared" si="129"/>
        <v>0.40694016283297763</v>
      </c>
      <c r="H76" s="19">
        <f t="shared" ref="H76:I76" si="130">+H75/H74</f>
        <v>0.39604088288957423</v>
      </c>
      <c r="I76" s="19">
        <f t="shared" si="130"/>
        <v>0.40468128472336368</v>
      </c>
      <c r="J76" s="19">
        <f t="shared" ref="J76:K76" si="131">+J75/J74</f>
        <v>0.42176517839212796</v>
      </c>
      <c r="K76" s="19">
        <f t="shared" si="131"/>
        <v>0.41830143133988373</v>
      </c>
      <c r="L76" s="19">
        <f t="shared" ref="L76:Q76" si="132">+L75/L74</f>
        <v>0.41602887079621331</v>
      </c>
      <c r="M76" s="19">
        <f t="shared" si="132"/>
        <v>0.42086046797381033</v>
      </c>
      <c r="N76" s="19">
        <f t="shared" si="132"/>
        <v>0.44693251533742329</v>
      </c>
      <c r="O76" s="19">
        <f t="shared" si="132"/>
        <v>0.45784859679109002</v>
      </c>
      <c r="P76" s="19">
        <f t="shared" si="132"/>
        <v>0.43597349203071317</v>
      </c>
      <c r="Q76" s="19">
        <f t="shared" si="132"/>
        <v>0.43079986082653576</v>
      </c>
      <c r="R76" s="19">
        <v>0.42633977872818907</v>
      </c>
      <c r="S76" s="19">
        <f t="shared" ref="S76:Y76" si="133">+S75/S74</f>
        <v>0.38802278670910456</v>
      </c>
      <c r="T76" s="19">
        <f t="shared" si="133"/>
        <v>0.37692131699910564</v>
      </c>
      <c r="U76" s="19">
        <f t="shared" si="133"/>
        <v>0.37853798909075292</v>
      </c>
      <c r="V76" s="19">
        <f t="shared" si="133"/>
        <v>0.38013991534902081</v>
      </c>
      <c r="W76" s="19">
        <f t="shared" si="133"/>
        <v>0.38024791892870069</v>
      </c>
      <c r="X76" s="19">
        <f t="shared" si="133"/>
        <v>0.36637346990331399</v>
      </c>
      <c r="Y76" s="19">
        <f t="shared" si="133"/>
        <v>0.36193124248921982</v>
      </c>
    </row>
    <row r="77" spans="1:25" x14ac:dyDescent="0.3">
      <c r="E77" s="22"/>
      <c r="F77" s="22"/>
      <c r="G77" s="22"/>
      <c r="H77" s="22"/>
      <c r="I77" s="22"/>
      <c r="J77" s="22"/>
      <c r="K77" s="22"/>
      <c r="L77" s="22"/>
      <c r="M77" s="22"/>
      <c r="N77" s="22"/>
      <c r="O77" s="22"/>
    </row>
    <row r="78" spans="1:25" x14ac:dyDescent="0.3">
      <c r="E78" s="22"/>
      <c r="F78" s="22"/>
      <c r="G78" s="22"/>
      <c r="H78" s="22"/>
      <c r="I78" s="22"/>
      <c r="J78" s="22"/>
      <c r="K78" s="22"/>
      <c r="L78" s="22"/>
      <c r="M78" s="22"/>
      <c r="N78" s="22"/>
      <c r="O78" s="22"/>
    </row>
    <row r="79" spans="1:25" x14ac:dyDescent="0.3">
      <c r="A79" t="s">
        <v>69</v>
      </c>
      <c r="B79" s="60">
        <v>18</v>
      </c>
      <c r="C79" s="60">
        <v>15</v>
      </c>
      <c r="D79" s="60">
        <v>2</v>
      </c>
      <c r="E79" s="60">
        <v>-19</v>
      </c>
      <c r="F79" s="60">
        <v>-23</v>
      </c>
      <c r="G79" s="60">
        <v>-14</v>
      </c>
      <c r="H79" s="60">
        <v>-5</v>
      </c>
      <c r="I79" s="60">
        <v>31</v>
      </c>
      <c r="J79" s="60">
        <v>36</v>
      </c>
      <c r="K79" s="60">
        <v>22</v>
      </c>
      <c r="L79" s="60">
        <v>4</v>
      </c>
      <c r="M79" s="60">
        <v>42</v>
      </c>
      <c r="N79" s="60">
        <v>24</v>
      </c>
      <c r="O79" s="60">
        <v>15</v>
      </c>
      <c r="P79" s="60">
        <v>16</v>
      </c>
      <c r="Q79" s="24">
        <v>-18</v>
      </c>
      <c r="R79" s="24">
        <v>-22</v>
      </c>
      <c r="S79" s="24">
        <v>-21</v>
      </c>
      <c r="T79" s="24">
        <v>-12</v>
      </c>
      <c r="U79" s="24">
        <v>75</v>
      </c>
      <c r="V79" s="24">
        <f>+W79+14</f>
        <v>75</v>
      </c>
      <c r="W79" s="24">
        <f>42+19</f>
        <v>61</v>
      </c>
      <c r="X79" s="24">
        <v>42</v>
      </c>
      <c r="Y79" s="24">
        <v>37</v>
      </c>
    </row>
    <row r="80" spans="1:25" x14ac:dyDescent="0.3">
      <c r="B80" s="60"/>
      <c r="C80" s="60"/>
      <c r="D80" s="60"/>
      <c r="E80" s="60"/>
      <c r="F80" s="60"/>
      <c r="G80" s="60"/>
      <c r="H80" s="60"/>
      <c r="I80" s="60"/>
      <c r="J80" s="60"/>
      <c r="K80" s="60"/>
      <c r="L80" s="60"/>
      <c r="M80" s="60"/>
      <c r="N80" s="60"/>
      <c r="O80" s="60"/>
      <c r="P80" s="60"/>
      <c r="Q80" s="24"/>
      <c r="R80" s="24"/>
      <c r="S80" s="24"/>
      <c r="T80" s="24"/>
      <c r="U80" s="24"/>
      <c r="V80" s="25"/>
      <c r="W80" s="25"/>
      <c r="X80" s="24"/>
      <c r="Y80" s="24"/>
    </row>
    <row r="81" spans="1:26" x14ac:dyDescent="0.3">
      <c r="A81" t="s">
        <v>70</v>
      </c>
      <c r="B81" s="60">
        <f>B79/273*365</f>
        <v>24.065934065934066</v>
      </c>
      <c r="C81" s="60">
        <f>C79/181*365</f>
        <v>30.248618784530386</v>
      </c>
      <c r="D81" s="60">
        <f>D79/90*365</f>
        <v>8.1111111111111107</v>
      </c>
      <c r="E81" s="60">
        <f>E79/366*366</f>
        <v>-19</v>
      </c>
      <c r="F81" s="60">
        <f>F79/274*366</f>
        <v>-30.722627737226276</v>
      </c>
      <c r="G81" s="60">
        <f>G79/182*366</f>
        <v>-28.153846153846157</v>
      </c>
      <c r="H81" s="60">
        <f>H79/91*366</f>
        <v>-20.109890109890109</v>
      </c>
      <c r="I81" s="60">
        <f>I79/365*365</f>
        <v>31</v>
      </c>
      <c r="J81" s="60">
        <f>J79/273*365</f>
        <v>48.131868131868131</v>
      </c>
      <c r="K81" s="60">
        <f>K79/181*365</f>
        <v>44.364640883977899</v>
      </c>
      <c r="L81" s="60">
        <f>L79/90*365</f>
        <v>16.222222222222221</v>
      </c>
      <c r="M81" s="60">
        <f>M79/365*365</f>
        <v>42</v>
      </c>
      <c r="N81" s="60">
        <f>N79/273*365</f>
        <v>32.087912087912088</v>
      </c>
      <c r="O81" s="60">
        <f>O79/181*365</f>
        <v>30.248618784530386</v>
      </c>
      <c r="P81" s="60">
        <f>P79/90*365</f>
        <v>64.888888888888886</v>
      </c>
      <c r="Q81" s="24">
        <f>Q79/4*4</f>
        <v>-18</v>
      </c>
      <c r="R81" s="24">
        <v>-29.333333333333332</v>
      </c>
      <c r="S81" s="24">
        <v>-42</v>
      </c>
      <c r="T81" s="24">
        <v>-48</v>
      </c>
      <c r="U81" s="24">
        <f>U79/4*4</f>
        <v>75</v>
      </c>
      <c r="V81" s="24">
        <f>V79/3*4</f>
        <v>100</v>
      </c>
      <c r="W81" s="24">
        <f>W79/2*4</f>
        <v>122</v>
      </c>
      <c r="X81" s="24">
        <f>X79*4</f>
        <v>168</v>
      </c>
      <c r="Y81" s="24">
        <f>Y79/4*4</f>
        <v>37</v>
      </c>
    </row>
    <row r="82" spans="1:26" x14ac:dyDescent="0.3">
      <c r="A82" s="12" t="s">
        <v>71</v>
      </c>
      <c r="B82" s="60">
        <f>(B59+C59+D59+E59)/4</f>
        <v>43421</v>
      </c>
      <c r="C82" s="60">
        <f>(C59+D59+E59)/3</f>
        <v>43471</v>
      </c>
      <c r="D82" s="60">
        <f>(D59+E59)/2</f>
        <v>43021.5</v>
      </c>
      <c r="E82" s="60">
        <f>(E59+F59+G59+H59+I59)/5</f>
        <v>40617.199999999997</v>
      </c>
      <c r="F82" s="60">
        <f>(F59+G59+H59+I59)/4</f>
        <v>40228.25</v>
      </c>
      <c r="G82" s="60">
        <f>(G59+H59+I59)/3</f>
        <v>39608.666666666664</v>
      </c>
      <c r="H82" s="60">
        <f>(H59+I59)/2</f>
        <v>39151</v>
      </c>
      <c r="I82" s="60">
        <f>(I59+J59+K59+L59+M59)/5</f>
        <v>37357</v>
      </c>
      <c r="J82" s="60">
        <f>(J59+K59+L59+M59)/4</f>
        <v>36988.5</v>
      </c>
      <c r="K82" s="60">
        <f>(K59+L59+M59)/3</f>
        <v>36618.333333333336</v>
      </c>
      <c r="L82" s="60">
        <f>(L59+M59)/2</f>
        <v>36288.5</v>
      </c>
      <c r="M82" s="60">
        <f>(M59+N59+O59+P59+Q59)/5</f>
        <v>34651.599999999999</v>
      </c>
      <c r="N82" s="60">
        <f>(N59+O59+P59+Q59)/4</f>
        <v>34235.5</v>
      </c>
      <c r="O82" s="60">
        <f>(O59+P59+Q59)/3</f>
        <v>33816.666666666664</v>
      </c>
      <c r="P82" s="60">
        <f>AVERAGE(P59:Q59)</f>
        <v>33243</v>
      </c>
      <c r="Q82" s="56">
        <f>AVERAGE(Q59:U59)</f>
        <v>30465.8</v>
      </c>
      <c r="R82" s="56">
        <v>29936.5</v>
      </c>
      <c r="S82" s="56">
        <v>29513</v>
      </c>
      <c r="T82" s="54">
        <v>28848</v>
      </c>
      <c r="U82" s="54">
        <f>(U59+W59+V59+X59+Y59)/5</f>
        <v>26707.8</v>
      </c>
      <c r="V82" s="54">
        <f>(V59+X59+W59+Y59)/4</f>
        <v>26329.25</v>
      </c>
      <c r="W82" s="54">
        <f>(W59+Y59+X59)/3</f>
        <v>25932.666666666668</v>
      </c>
      <c r="X82" s="54">
        <f>(X59+Y59)/2</f>
        <v>25696</v>
      </c>
      <c r="Y82" s="54">
        <v>23798</v>
      </c>
    </row>
    <row r="83" spans="1:26" ht="15" thickBot="1" x14ac:dyDescent="0.35">
      <c r="A83" s="30" t="s">
        <v>72</v>
      </c>
      <c r="B83" s="21">
        <f>B81/B82</f>
        <v>5.5424642605960404E-4</v>
      </c>
      <c r="C83" s="21">
        <f>C81/C82</f>
        <v>6.9583443639507686E-4</v>
      </c>
      <c r="D83" s="21">
        <f>D81/D82</f>
        <v>1.8853622284465001E-4</v>
      </c>
      <c r="E83" s="21">
        <f>E81/E82</f>
        <v>-4.6778212185970481E-4</v>
      </c>
      <c r="F83" s="21">
        <f t="shared" ref="F83" si="134">F81/F82</f>
        <v>-7.6370778587749348E-4</v>
      </c>
      <c r="G83" s="21">
        <f t="shared" ref="G83:H83" si="135">G81/G82</f>
        <v>-7.1080014863361956E-4</v>
      </c>
      <c r="H83" s="21">
        <f t="shared" si="135"/>
        <v>-5.1364946259074124E-4</v>
      </c>
      <c r="I83" s="21">
        <f t="shared" ref="I83:J83" si="136">I81/I82</f>
        <v>8.2983108922022643E-4</v>
      </c>
      <c r="J83" s="21">
        <f t="shared" si="136"/>
        <v>1.3012657483236177E-3</v>
      </c>
      <c r="K83" s="21">
        <f t="shared" ref="K83:P83" si="137">K81/K82</f>
        <v>1.211541783732499E-3</v>
      </c>
      <c r="L83" s="21">
        <f t="shared" si="137"/>
        <v>4.4703479675991625E-4</v>
      </c>
      <c r="M83" s="21">
        <f t="shared" si="137"/>
        <v>1.2120652437405488E-3</v>
      </c>
      <c r="N83" s="21">
        <f t="shared" si="137"/>
        <v>9.3727014613229217E-4</v>
      </c>
      <c r="O83" s="21">
        <f t="shared" si="137"/>
        <v>8.944884805676803E-4</v>
      </c>
      <c r="P83" s="21">
        <f t="shared" si="137"/>
        <v>1.9519564686968349E-3</v>
      </c>
      <c r="Q83" s="21">
        <f t="shared" ref="Q83" si="138">Q81/Q82</f>
        <v>-5.9082643488764448E-4</v>
      </c>
      <c r="R83" s="21">
        <v>-9.798517974156408E-4</v>
      </c>
      <c r="S83" s="21">
        <v>-1.4231016840036595E-3</v>
      </c>
      <c r="T83" s="21">
        <v>-1.6638935108153079E-3</v>
      </c>
      <c r="U83" s="21">
        <f>U81/U82</f>
        <v>2.8081684002426257E-3</v>
      </c>
      <c r="V83" s="21">
        <f t="shared" ref="V83:X83" si="139">V81/V82</f>
        <v>3.7980572936942756E-3</v>
      </c>
      <c r="W83" s="21">
        <f t="shared" si="139"/>
        <v>4.7044911180235995E-3</v>
      </c>
      <c r="X83" s="21">
        <f t="shared" si="139"/>
        <v>6.5379825653798258E-3</v>
      </c>
      <c r="Y83" s="21">
        <f>Y81/Y82</f>
        <v>1.5547525002101016E-3</v>
      </c>
    </row>
    <row r="84" spans="1:26" x14ac:dyDescent="0.3">
      <c r="A84" s="22"/>
      <c r="E84" s="22"/>
      <c r="F84" s="22"/>
      <c r="G84" s="22"/>
      <c r="H84" s="22"/>
      <c r="I84" s="22"/>
      <c r="J84" s="22"/>
      <c r="K84" s="22"/>
      <c r="L84" s="22"/>
      <c r="M84" s="22"/>
      <c r="N84" s="22"/>
      <c r="O84" s="22"/>
    </row>
    <row r="85" spans="1:26" x14ac:dyDescent="0.3">
      <c r="A85" s="22"/>
      <c r="E85" s="22"/>
      <c r="F85" s="22"/>
      <c r="G85" s="22"/>
      <c r="H85" s="22"/>
      <c r="I85" s="22"/>
      <c r="J85" s="22"/>
      <c r="K85" s="22"/>
      <c r="L85" s="22"/>
      <c r="M85" s="22"/>
      <c r="N85" s="22"/>
      <c r="O85" s="22"/>
    </row>
    <row r="86" spans="1:26" x14ac:dyDescent="0.3">
      <c r="A86" s="22" t="s">
        <v>95</v>
      </c>
      <c r="B86" s="60">
        <v>657</v>
      </c>
      <c r="C86" s="60">
        <v>639</v>
      </c>
      <c r="D86" s="60">
        <v>718</v>
      </c>
      <c r="E86" s="60">
        <v>698</v>
      </c>
      <c r="F86" s="60">
        <v>720</v>
      </c>
      <c r="G86" s="60">
        <v>748</v>
      </c>
      <c r="H86" s="60">
        <v>563</v>
      </c>
      <c r="I86" s="60">
        <v>612</v>
      </c>
      <c r="J86" s="60">
        <v>197</v>
      </c>
      <c r="K86" s="60">
        <v>205</v>
      </c>
      <c r="L86" s="60">
        <v>213</v>
      </c>
      <c r="M86" s="60">
        <v>175</v>
      </c>
      <c r="N86" s="60">
        <v>177</v>
      </c>
      <c r="O86" s="60">
        <v>139</v>
      </c>
      <c r="P86" s="60">
        <v>134</v>
      </c>
      <c r="Q86" s="24">
        <v>149</v>
      </c>
      <c r="R86" s="24">
        <v>125</v>
      </c>
      <c r="S86" s="24">
        <v>142</v>
      </c>
      <c r="T86" s="24">
        <v>159</v>
      </c>
      <c r="U86" s="24">
        <v>234</v>
      </c>
      <c r="V86" s="24">
        <v>220</v>
      </c>
      <c r="W86" s="24">
        <v>234</v>
      </c>
      <c r="X86" s="24">
        <v>223</v>
      </c>
      <c r="Y86" s="24">
        <v>243</v>
      </c>
    </row>
    <row r="87" spans="1:26" s="22" customFormat="1" x14ac:dyDescent="0.3">
      <c r="A87" s="32" t="s">
        <v>73</v>
      </c>
      <c r="B87" s="11">
        <f>+B41</f>
        <v>43271</v>
      </c>
      <c r="C87" s="11">
        <f>+C41</f>
        <v>44370</v>
      </c>
      <c r="D87" s="11">
        <f>+D41</f>
        <v>43870</v>
      </c>
      <c r="E87" s="11">
        <f>+E41</f>
        <v>42173</v>
      </c>
      <c r="F87" s="11">
        <f t="shared" ref="F87:G87" si="140">+F41</f>
        <v>42087</v>
      </c>
      <c r="G87" s="11">
        <f t="shared" si="140"/>
        <v>40524</v>
      </c>
      <c r="H87" s="11">
        <f t="shared" ref="H87:I87" si="141">+H41</f>
        <v>39471</v>
      </c>
      <c r="I87" s="11">
        <f t="shared" si="141"/>
        <v>38831</v>
      </c>
      <c r="J87" s="11">
        <f t="shared" ref="J87:K87" si="142">+J41</f>
        <v>38099</v>
      </c>
      <c r="K87" s="11">
        <f t="shared" si="142"/>
        <v>37278</v>
      </c>
      <c r="L87" s="11">
        <f t="shared" ref="L87:Q87" si="143">+L41</f>
        <v>36261</v>
      </c>
      <c r="M87" s="11">
        <f t="shared" si="143"/>
        <v>36316</v>
      </c>
      <c r="N87" s="11">
        <f t="shared" si="143"/>
        <v>35492</v>
      </c>
      <c r="O87" s="11">
        <f t="shared" si="143"/>
        <v>34964</v>
      </c>
      <c r="P87" s="11">
        <f t="shared" si="143"/>
        <v>33903</v>
      </c>
      <c r="Q87" s="54">
        <f t="shared" si="143"/>
        <v>32583</v>
      </c>
      <c r="R87" s="54">
        <v>31207</v>
      </c>
      <c r="S87" s="54">
        <v>30843</v>
      </c>
      <c r="T87" s="54">
        <v>29474</v>
      </c>
      <c r="U87" s="54">
        <f>+U41</f>
        <v>28222</v>
      </c>
      <c r="V87" s="54">
        <f>+V41</f>
        <v>27519</v>
      </c>
      <c r="W87" s="54">
        <f>+W41</f>
        <v>26406</v>
      </c>
      <c r="X87" s="54">
        <f>+X41</f>
        <v>25792</v>
      </c>
      <c r="Y87" s="54">
        <f>+Y41</f>
        <v>25642</v>
      </c>
    </row>
    <row r="88" spans="1:26" s="22" customFormat="1" ht="15" thickBot="1" x14ac:dyDescent="0.35">
      <c r="A88" s="68" t="s">
        <v>74</v>
      </c>
      <c r="B88" s="20">
        <f>B86/B87</f>
        <v>1.5183379168496221E-2</v>
      </c>
      <c r="C88" s="20">
        <f>C86/C87</f>
        <v>1.4401622718052738E-2</v>
      </c>
      <c r="D88" s="20">
        <f>D86/D87</f>
        <v>1.6366537497150672E-2</v>
      </c>
      <c r="E88" s="20">
        <f>E86/E87</f>
        <v>1.6550873781803522E-2</v>
      </c>
      <c r="F88" s="20">
        <f t="shared" ref="F88" si="144">F86/F87</f>
        <v>1.7107420343574025E-2</v>
      </c>
      <c r="G88" s="20">
        <f t="shared" ref="G88:H88" si="145">G86/G87</f>
        <v>1.8458197611292075E-2</v>
      </c>
      <c r="H88" s="20">
        <f t="shared" si="145"/>
        <v>1.4263636593955055E-2</v>
      </c>
      <c r="I88" s="20">
        <f t="shared" ref="I88:J88" si="146">I86/I87</f>
        <v>1.5760603641420515E-2</v>
      </c>
      <c r="J88" s="20">
        <f t="shared" si="146"/>
        <v>5.1707393894852884E-3</v>
      </c>
      <c r="K88" s="20">
        <f t="shared" ref="K88:P88" si="147">K86/K87</f>
        <v>5.4992220612693817E-3</v>
      </c>
      <c r="L88" s="20">
        <f t="shared" si="147"/>
        <v>5.8740795896417642E-3</v>
      </c>
      <c r="M88" s="20">
        <f t="shared" si="147"/>
        <v>4.8188126445643797E-3</v>
      </c>
      <c r="N88" s="20">
        <f t="shared" si="147"/>
        <v>4.9870393328073932E-3</v>
      </c>
      <c r="O88" s="20">
        <f t="shared" si="147"/>
        <v>3.9755176753231893E-3</v>
      </c>
      <c r="P88" s="20">
        <f t="shared" si="147"/>
        <v>3.9524525853169333E-3</v>
      </c>
      <c r="Q88" s="20">
        <f t="shared" ref="Q88:Y88" si="148">Q86/Q87</f>
        <v>4.5729368075376727E-3</v>
      </c>
      <c r="R88" s="20">
        <v>4.0055115839395007E-3</v>
      </c>
      <c r="S88" s="20">
        <v>4.6039620011023574E-3</v>
      </c>
      <c r="T88" s="20">
        <f t="shared" si="148"/>
        <v>5.3945850580172355E-3</v>
      </c>
      <c r="U88" s="20">
        <f t="shared" si="148"/>
        <v>8.2914038693218065E-3</v>
      </c>
      <c r="V88" s="20">
        <f t="shared" si="148"/>
        <v>7.9944765434790503E-3</v>
      </c>
      <c r="W88" s="20">
        <f t="shared" si="148"/>
        <v>8.8616223585548746E-3</v>
      </c>
      <c r="X88" s="20">
        <f t="shared" si="148"/>
        <v>8.6460918114143921E-3</v>
      </c>
      <c r="Y88" s="20">
        <f t="shared" si="148"/>
        <v>9.4766398876842683E-3</v>
      </c>
    </row>
    <row r="89" spans="1:26" s="22" customFormat="1" x14ac:dyDescent="0.3"/>
    <row r="90" spans="1:26" s="22" customFormat="1" x14ac:dyDescent="0.3"/>
    <row r="91" spans="1:26" s="22" customFormat="1" x14ac:dyDescent="0.3">
      <c r="A91" s="22" t="s">
        <v>69</v>
      </c>
      <c r="B91" s="60">
        <f t="shared" ref="B91" si="149">+B79</f>
        <v>18</v>
      </c>
      <c r="C91" s="60">
        <f t="shared" ref="C91:D91" si="150">+C79</f>
        <v>15</v>
      </c>
      <c r="D91" s="60">
        <f t="shared" si="150"/>
        <v>2</v>
      </c>
      <c r="E91" s="60">
        <f t="shared" ref="E91:J91" si="151">+E79</f>
        <v>-19</v>
      </c>
      <c r="F91" s="60">
        <f t="shared" si="151"/>
        <v>-23</v>
      </c>
      <c r="G91" s="60">
        <f t="shared" si="151"/>
        <v>-14</v>
      </c>
      <c r="H91" s="60">
        <f t="shared" si="151"/>
        <v>-5</v>
      </c>
      <c r="I91" s="60">
        <f t="shared" si="151"/>
        <v>31</v>
      </c>
      <c r="J91" s="60">
        <f t="shared" si="151"/>
        <v>36</v>
      </c>
      <c r="K91" s="60">
        <f t="shared" ref="K91" si="152">+K79</f>
        <v>22</v>
      </c>
      <c r="L91" s="60">
        <f t="shared" ref="L91:Q91" si="153">+L79</f>
        <v>4</v>
      </c>
      <c r="M91" s="60">
        <f t="shared" si="153"/>
        <v>42</v>
      </c>
      <c r="N91" s="60">
        <f t="shared" si="153"/>
        <v>24</v>
      </c>
      <c r="O91" s="60">
        <f t="shared" si="153"/>
        <v>15</v>
      </c>
      <c r="P91" s="60">
        <f t="shared" si="153"/>
        <v>16</v>
      </c>
      <c r="Q91" s="24">
        <f t="shared" si="153"/>
        <v>-18</v>
      </c>
      <c r="R91" s="24">
        <v>-22</v>
      </c>
      <c r="S91" s="24">
        <v>-21</v>
      </c>
      <c r="T91" s="24">
        <v>-12</v>
      </c>
      <c r="U91" s="24">
        <f>+U79</f>
        <v>75</v>
      </c>
      <c r="V91" s="24">
        <f>+V79</f>
        <v>75</v>
      </c>
      <c r="W91" s="24">
        <f>+W79</f>
        <v>61</v>
      </c>
      <c r="X91" s="24">
        <f>+X79</f>
        <v>42</v>
      </c>
      <c r="Y91" s="24">
        <f>+Y79</f>
        <v>37</v>
      </c>
    </row>
    <row r="92" spans="1:26" s="22" customFormat="1" x14ac:dyDescent="0.3">
      <c r="B92" s="60"/>
      <c r="C92" s="60"/>
      <c r="D92" s="60"/>
      <c r="E92" s="60"/>
      <c r="F92" s="60"/>
      <c r="G92" s="60"/>
      <c r="H92" s="60"/>
      <c r="I92" s="60"/>
      <c r="J92" s="60"/>
      <c r="K92" s="60"/>
      <c r="L92" s="60"/>
      <c r="M92" s="60"/>
      <c r="N92" s="60"/>
      <c r="O92" s="60"/>
      <c r="P92" s="60"/>
      <c r="Q92" s="24"/>
      <c r="R92" s="24"/>
      <c r="S92" s="24"/>
      <c r="T92" s="24"/>
      <c r="U92" s="24"/>
      <c r="V92" s="24"/>
      <c r="W92" s="24"/>
      <c r="X92" s="24"/>
      <c r="Y92" s="24"/>
    </row>
    <row r="93" spans="1:26" s="22" customFormat="1" x14ac:dyDescent="0.3">
      <c r="A93" s="22" t="s">
        <v>70</v>
      </c>
      <c r="B93" s="60">
        <f>B91/273*365</f>
        <v>24.065934065934066</v>
      </c>
      <c r="C93" s="60">
        <f>C91/181*365</f>
        <v>30.248618784530386</v>
      </c>
      <c r="D93" s="60">
        <f>D91/90*365</f>
        <v>8.1111111111111107</v>
      </c>
      <c r="E93" s="60">
        <f>E91/366*366</f>
        <v>-19</v>
      </c>
      <c r="F93" s="60">
        <f>F91/274*366</f>
        <v>-30.722627737226276</v>
      </c>
      <c r="G93" s="60">
        <f>G91/182*366</f>
        <v>-28.153846153846157</v>
      </c>
      <c r="H93" s="60">
        <f>H91/91*366</f>
        <v>-20.109890109890109</v>
      </c>
      <c r="I93" s="60">
        <f>I91/365*365</f>
        <v>31</v>
      </c>
      <c r="J93" s="60">
        <f>J91/273*365</f>
        <v>48.131868131868131</v>
      </c>
      <c r="K93" s="60">
        <f>K91/181*365</f>
        <v>44.364640883977899</v>
      </c>
      <c r="L93" s="60">
        <f>L91/90*365</f>
        <v>16.222222222222221</v>
      </c>
      <c r="M93" s="60">
        <f>M91/365*365</f>
        <v>42</v>
      </c>
      <c r="N93" s="60">
        <f>N91/273*365</f>
        <v>32.087912087912088</v>
      </c>
      <c r="O93" s="60">
        <f>O91/181*365</f>
        <v>30.248618784530386</v>
      </c>
      <c r="P93" s="60">
        <f>P91/90*365</f>
        <v>64.888888888888886</v>
      </c>
      <c r="Q93" s="24">
        <f>Q91/4*4</f>
        <v>-18</v>
      </c>
      <c r="R93" s="24">
        <v>-29.333333333333332</v>
      </c>
      <c r="S93" s="24">
        <v>-42</v>
      </c>
      <c r="T93" s="24">
        <v>-48</v>
      </c>
      <c r="U93" s="24">
        <f>U91/4*4</f>
        <v>75</v>
      </c>
      <c r="V93" s="24">
        <f>V91/3*4</f>
        <v>100</v>
      </c>
      <c r="W93" s="24">
        <f>W91/2*4</f>
        <v>122</v>
      </c>
      <c r="X93" s="24">
        <f>X91*4</f>
        <v>168</v>
      </c>
      <c r="Y93" s="24">
        <f>Y91/4*4</f>
        <v>37</v>
      </c>
    </row>
    <row r="94" spans="1:26" s="22" customFormat="1" x14ac:dyDescent="0.3">
      <c r="A94" s="69" t="s">
        <v>75</v>
      </c>
      <c r="B94" s="60">
        <f>(B72+C72+D72+E72)/4</f>
        <v>67403.25</v>
      </c>
      <c r="C94" s="60">
        <f>(C72+D72+E72)/3</f>
        <v>67305.666666666672</v>
      </c>
      <c r="D94" s="60">
        <f>(D72+E72)/2</f>
        <v>66796</v>
      </c>
      <c r="E94" s="60">
        <f>(E72+F72+G72+H72+I72)/5</f>
        <v>63446.2</v>
      </c>
      <c r="F94" s="60">
        <f>(F72+G72+H72+I72)/4</f>
        <v>62843.25</v>
      </c>
      <c r="G94" s="60">
        <f>(G72+H72+I72)/3</f>
        <v>62167.333333333336</v>
      </c>
      <c r="H94" s="60">
        <f>(H72+I72)/2</f>
        <v>61552.5</v>
      </c>
      <c r="I94" s="60">
        <f>(I72+J72+K72+L72+M72)/5</f>
        <v>58917.2</v>
      </c>
      <c r="J94" s="60">
        <f>(J72+K72+L72+M72)/4</f>
        <v>58393.75</v>
      </c>
      <c r="K94" s="60">
        <f>(K72+L72+M72)/3</f>
        <v>57877.666666666664</v>
      </c>
      <c r="L94" s="60">
        <f>(L72+M72)/2</f>
        <v>57316.5</v>
      </c>
      <c r="M94" s="60">
        <f>(M72+N72+O72+P72+Q72)/5</f>
        <v>54490.8</v>
      </c>
      <c r="N94" s="60">
        <f>(N72+O72+P72+Q72)/4</f>
        <v>53833.75</v>
      </c>
      <c r="O94" s="60">
        <f>(O72+P72+Q72)/3</f>
        <v>53260</v>
      </c>
      <c r="P94" s="60">
        <f>AVERAGE(P72:Q72)</f>
        <v>52619</v>
      </c>
      <c r="Q94" s="56">
        <f>AVERAGE(Q72:U72)</f>
        <v>49225.2</v>
      </c>
      <c r="R94" s="56">
        <v>48570.25</v>
      </c>
      <c r="S94" s="56">
        <v>48121</v>
      </c>
      <c r="T94" s="54">
        <v>47460.5</v>
      </c>
      <c r="U94" s="54">
        <f>(U65+W65+V65+X65+Y65)/5</f>
        <v>44634.8</v>
      </c>
      <c r="V94" s="54">
        <f>(V65+X65+W65+Y65)/4</f>
        <v>44113.75</v>
      </c>
      <c r="W94" s="54">
        <f>(W65+Y65+X65)/3</f>
        <v>43565.666666666664</v>
      </c>
      <c r="X94" s="54">
        <f>(X65+Y65)/2</f>
        <v>43150.5</v>
      </c>
      <c r="Y94" s="54">
        <v>40432</v>
      </c>
    </row>
    <row r="95" spans="1:26" s="41" customFormat="1" ht="15" thickBot="1" x14ac:dyDescent="0.35">
      <c r="A95" s="70" t="s">
        <v>76</v>
      </c>
      <c r="B95" s="21">
        <f>B93/B94</f>
        <v>3.5704411977069455E-4</v>
      </c>
      <c r="C95" s="21">
        <f>C93/C94</f>
        <v>4.4942157596235656E-4</v>
      </c>
      <c r="D95" s="21">
        <f>D93/D94</f>
        <v>1.2143109035138498E-4</v>
      </c>
      <c r="E95" s="21">
        <f>E93/E94</f>
        <v>-2.9946631949588788E-4</v>
      </c>
      <c r="F95" s="21">
        <f t="shared" ref="F95" si="154">F93/F94</f>
        <v>-4.8887713059439595E-4</v>
      </c>
      <c r="G95" s="21">
        <f t="shared" ref="G95:H95" si="155">G93/G94</f>
        <v>-4.5287202529484114E-4</v>
      </c>
      <c r="H95" s="21">
        <f t="shared" si="155"/>
        <v>-3.2671118329702462E-4</v>
      </c>
      <c r="I95" s="21">
        <f t="shared" ref="I95:J95" si="156">I93/I94</f>
        <v>5.2616213940920482E-4</v>
      </c>
      <c r="J95" s="21">
        <f t="shared" si="156"/>
        <v>8.2426403736475442E-4</v>
      </c>
      <c r="K95" s="21">
        <f t="shared" ref="K95:P95" si="157">K93/K94</f>
        <v>7.665243510849533E-4</v>
      </c>
      <c r="L95" s="21">
        <f t="shared" si="157"/>
        <v>2.8302883501648256E-4</v>
      </c>
      <c r="M95" s="21">
        <f t="shared" si="157"/>
        <v>7.7077231385848616E-4</v>
      </c>
      <c r="N95" s="21">
        <f t="shared" si="157"/>
        <v>5.9605567302876148E-4</v>
      </c>
      <c r="O95" s="21">
        <f t="shared" si="157"/>
        <v>5.6794252317931627E-4</v>
      </c>
      <c r="P95" s="21">
        <f t="shared" si="157"/>
        <v>1.2331836197740148E-3</v>
      </c>
      <c r="Q95" s="21">
        <f t="shared" ref="Q95:T95" si="158">Q93/Q94</f>
        <v>-3.6566636600765464E-4</v>
      </c>
      <c r="R95" s="21">
        <v>-6.0393622296227279E-4</v>
      </c>
      <c r="S95" s="21">
        <v>-8.7279981712765737E-4</v>
      </c>
      <c r="T95" s="21">
        <f t="shared" si="158"/>
        <v>-1.0113673475837801E-3</v>
      </c>
      <c r="U95" s="21">
        <f t="shared" ref="U95" si="159">U93/U94</f>
        <v>1.6803032611325691E-3</v>
      </c>
      <c r="V95" s="21">
        <f t="shared" ref="V95" si="160">V93/V94</f>
        <v>2.2668669065767475E-3</v>
      </c>
      <c r="W95" s="21">
        <f t="shared" ref="W95:Y95" si="161">W93/W94</f>
        <v>2.800370322195613E-3</v>
      </c>
      <c r="X95" s="21">
        <f t="shared" si="161"/>
        <v>3.8933500191191297E-3</v>
      </c>
      <c r="Y95" s="21">
        <f t="shared" si="161"/>
        <v>9.1511673921646224E-4</v>
      </c>
      <c r="Z95" s="22"/>
    </row>
    <row r="96" spans="1:26" s="22" customFormat="1" x14ac:dyDescent="0.3"/>
    <row r="97" spans="1:26" s="22" customFormat="1" x14ac:dyDescent="0.3"/>
    <row r="98" spans="1:26" s="22" customFormat="1" x14ac:dyDescent="0.3">
      <c r="A98" s="22" t="s">
        <v>95</v>
      </c>
      <c r="B98" s="60">
        <f>B86</f>
        <v>657</v>
      </c>
      <c r="C98" s="60">
        <f>C86</f>
        <v>639</v>
      </c>
      <c r="D98" s="60">
        <f>D86</f>
        <v>718</v>
      </c>
      <c r="E98" s="60">
        <f>E86</f>
        <v>698</v>
      </c>
      <c r="F98" s="60">
        <f t="shared" ref="F98:G98" si="162">F86</f>
        <v>720</v>
      </c>
      <c r="G98" s="60">
        <f t="shared" si="162"/>
        <v>748</v>
      </c>
      <c r="H98" s="60">
        <f t="shared" ref="H98:M98" si="163">H86</f>
        <v>563</v>
      </c>
      <c r="I98" s="60">
        <f t="shared" si="163"/>
        <v>612</v>
      </c>
      <c r="J98" s="60">
        <f t="shared" si="163"/>
        <v>197</v>
      </c>
      <c r="K98" s="60">
        <f t="shared" si="163"/>
        <v>205</v>
      </c>
      <c r="L98" s="60">
        <f t="shared" si="163"/>
        <v>213</v>
      </c>
      <c r="M98" s="60">
        <f t="shared" si="163"/>
        <v>175</v>
      </c>
      <c r="N98" s="60">
        <f t="shared" ref="N98:Y98" si="164">N86</f>
        <v>177</v>
      </c>
      <c r="O98" s="60">
        <f t="shared" si="164"/>
        <v>139</v>
      </c>
      <c r="P98" s="60">
        <f t="shared" si="164"/>
        <v>134</v>
      </c>
      <c r="Q98" s="60">
        <f t="shared" si="164"/>
        <v>149</v>
      </c>
      <c r="R98" s="60">
        <f t="shared" si="164"/>
        <v>125</v>
      </c>
      <c r="S98" s="60">
        <f t="shared" si="164"/>
        <v>142</v>
      </c>
      <c r="T98" s="60">
        <f t="shared" si="164"/>
        <v>159</v>
      </c>
      <c r="U98" s="60">
        <f t="shared" si="164"/>
        <v>234</v>
      </c>
      <c r="V98" s="60">
        <f t="shared" si="164"/>
        <v>220</v>
      </c>
      <c r="W98" s="60">
        <f t="shared" si="164"/>
        <v>234</v>
      </c>
      <c r="X98" s="60">
        <f t="shared" si="164"/>
        <v>223</v>
      </c>
      <c r="Y98" s="60">
        <f t="shared" si="164"/>
        <v>243</v>
      </c>
    </row>
    <row r="99" spans="1:26" s="22" customFormat="1" x14ac:dyDescent="0.3">
      <c r="A99" s="32" t="s">
        <v>77</v>
      </c>
      <c r="B99" s="11">
        <f t="shared" ref="B99:G99" si="165">+B65</f>
        <v>67696</v>
      </c>
      <c r="C99" s="11">
        <f t="shared" si="165"/>
        <v>68325</v>
      </c>
      <c r="D99" s="11">
        <f t="shared" si="165"/>
        <v>67734</v>
      </c>
      <c r="E99" s="11">
        <f t="shared" si="165"/>
        <v>65858</v>
      </c>
      <c r="F99" s="11">
        <f t="shared" si="165"/>
        <v>64871</v>
      </c>
      <c r="G99" s="11">
        <f t="shared" si="165"/>
        <v>63397</v>
      </c>
      <c r="H99" s="11">
        <f t="shared" ref="H99:I99" si="166">+H65</f>
        <v>62094</v>
      </c>
      <c r="I99" s="11">
        <f t="shared" si="166"/>
        <v>61011</v>
      </c>
      <c r="J99" s="11">
        <f t="shared" ref="J99:K99" si="167">+J65</f>
        <v>59942</v>
      </c>
      <c r="K99" s="11">
        <f t="shared" si="167"/>
        <v>59000</v>
      </c>
      <c r="L99" s="11">
        <f t="shared" ref="L99:Q99" si="168">+L65</f>
        <v>57514</v>
      </c>
      <c r="M99" s="11">
        <f t="shared" si="168"/>
        <v>57119</v>
      </c>
      <c r="N99" s="11">
        <f t="shared" si="168"/>
        <v>55555</v>
      </c>
      <c r="O99" s="11">
        <f t="shared" si="168"/>
        <v>54542</v>
      </c>
      <c r="P99" s="11">
        <f t="shared" si="168"/>
        <v>53393</v>
      </c>
      <c r="Q99" s="54">
        <f t="shared" si="168"/>
        <v>51845</v>
      </c>
      <c r="R99" s="54">
        <v>49918</v>
      </c>
      <c r="S99" s="54">
        <v>49442</v>
      </c>
      <c r="T99" s="54">
        <v>48202</v>
      </c>
      <c r="U99" s="54">
        <f>+U65</f>
        <v>46719</v>
      </c>
      <c r="V99" s="54">
        <f>+V65</f>
        <v>45758</v>
      </c>
      <c r="W99" s="54">
        <f>+W65</f>
        <v>44396</v>
      </c>
      <c r="X99" s="54">
        <f>+X65</f>
        <v>43723</v>
      </c>
      <c r="Y99" s="54">
        <f>+Y65</f>
        <v>42578</v>
      </c>
    </row>
    <row r="100" spans="1:26" s="22" customFormat="1" ht="29.4" thickBot="1" x14ac:dyDescent="0.35">
      <c r="A100" s="68" t="s">
        <v>78</v>
      </c>
      <c r="B100" s="20">
        <f t="shared" ref="B100:G100" si="169">B98/B99</f>
        <v>9.7051524462302054E-3</v>
      </c>
      <c r="C100" s="20">
        <f t="shared" si="169"/>
        <v>9.3523600439077929E-3</v>
      </c>
      <c r="D100" s="20">
        <f t="shared" si="169"/>
        <v>1.0600289367230637E-2</v>
      </c>
      <c r="E100" s="20">
        <f t="shared" si="169"/>
        <v>1.0598560539342222E-2</v>
      </c>
      <c r="F100" s="20">
        <f t="shared" si="169"/>
        <v>1.1098950224291285E-2</v>
      </c>
      <c r="G100" s="20">
        <f t="shared" si="169"/>
        <v>1.1798665551997729E-2</v>
      </c>
      <c r="H100" s="20">
        <f t="shared" ref="H100" si="170">H98/H99</f>
        <v>9.0668985731310586E-3</v>
      </c>
      <c r="I100" s="20">
        <f t="shared" ref="I100:J100" si="171">I98/I99</f>
        <v>1.0030978020356985E-2</v>
      </c>
      <c r="J100" s="20">
        <f t="shared" si="171"/>
        <v>3.2865102932835076E-3</v>
      </c>
      <c r="K100" s="20">
        <f t="shared" ref="K100:P100" si="172">K98/K99</f>
        <v>3.4745762711864405E-3</v>
      </c>
      <c r="L100" s="20">
        <f t="shared" si="172"/>
        <v>3.7034461174670517E-3</v>
      </c>
      <c r="M100" s="20">
        <f t="shared" si="172"/>
        <v>3.0637791277858505E-3</v>
      </c>
      <c r="N100" s="20">
        <f t="shared" si="172"/>
        <v>3.186031860318603E-3</v>
      </c>
      <c r="O100" s="20">
        <f t="shared" si="172"/>
        <v>2.5484947380000735E-3</v>
      </c>
      <c r="P100" s="20">
        <f t="shared" si="172"/>
        <v>2.5096922817597813E-3</v>
      </c>
      <c r="Q100" s="20">
        <f t="shared" ref="Q100:T100" si="173">Q98/Q99</f>
        <v>2.8739512006943774E-3</v>
      </c>
      <c r="R100" s="20">
        <v>2.5041067350454744E-3</v>
      </c>
      <c r="S100" s="20">
        <v>2.8720521014522068E-3</v>
      </c>
      <c r="T100" s="20">
        <f t="shared" si="173"/>
        <v>3.2986183145927556E-3</v>
      </c>
      <c r="U100" s="20">
        <f>U98/U99</f>
        <v>5.0086688499325757E-3</v>
      </c>
      <c r="V100" s="20">
        <f t="shared" ref="V100:Y100" si="174">V98/V99</f>
        <v>4.8079024432886057E-3</v>
      </c>
      <c r="W100" s="20">
        <f t="shared" si="174"/>
        <v>5.2707451121722674E-3</v>
      </c>
      <c r="X100" s="20">
        <f t="shared" si="174"/>
        <v>5.1002904649726693E-3</v>
      </c>
      <c r="Y100" s="20">
        <f t="shared" si="174"/>
        <v>5.7071727183052277E-3</v>
      </c>
    </row>
    <row r="101" spans="1:26" x14ac:dyDescent="0.3">
      <c r="B101" s="66"/>
      <c r="C101" s="66"/>
      <c r="D101" s="66"/>
      <c r="E101" s="66"/>
      <c r="F101" s="66"/>
      <c r="G101" s="66"/>
      <c r="H101" s="66"/>
      <c r="I101" s="66"/>
      <c r="J101" s="66"/>
      <c r="K101" s="66"/>
      <c r="L101" s="66"/>
      <c r="M101" s="51"/>
      <c r="N101" s="66"/>
      <c r="O101" s="66"/>
      <c r="P101" s="51"/>
      <c r="Q101" s="51"/>
      <c r="R101" s="51"/>
      <c r="S101" s="51"/>
      <c r="T101" s="51"/>
      <c r="U101" s="51"/>
      <c r="V101" s="51"/>
      <c r="W101" s="51"/>
      <c r="X101" s="51"/>
    </row>
    <row r="102" spans="1:26" x14ac:dyDescent="0.3">
      <c r="E102" s="22"/>
      <c r="F102" s="22"/>
      <c r="G102" s="22"/>
      <c r="H102" s="41"/>
      <c r="I102" s="22"/>
      <c r="J102" s="22"/>
      <c r="K102" s="22"/>
      <c r="L102" s="22"/>
      <c r="N102" s="22"/>
    </row>
    <row r="103" spans="1:26" x14ac:dyDescent="0.3">
      <c r="A103" t="s">
        <v>79</v>
      </c>
      <c r="B103" s="45">
        <v>4.46</v>
      </c>
      <c r="C103" s="45">
        <v>4.5599999999999996</v>
      </c>
      <c r="D103" s="45">
        <v>4.55</v>
      </c>
      <c r="E103" s="45">
        <v>4.72</v>
      </c>
      <c r="F103" s="45">
        <v>4.72</v>
      </c>
      <c r="G103" s="45">
        <v>4.72</v>
      </c>
      <c r="H103" s="45">
        <v>4.71</v>
      </c>
      <c r="I103" s="45">
        <v>4.1500000000000004</v>
      </c>
      <c r="J103" s="45">
        <v>3.96</v>
      </c>
      <c r="K103" s="45">
        <v>3.61</v>
      </c>
      <c r="L103" s="45">
        <v>3.33</v>
      </c>
      <c r="M103" s="45">
        <v>2.04</v>
      </c>
      <c r="N103" s="45">
        <v>1.62</v>
      </c>
      <c r="O103" s="45">
        <v>1.25</v>
      </c>
      <c r="P103" s="45">
        <v>1.17</v>
      </c>
      <c r="Q103" s="45">
        <v>0.47</v>
      </c>
      <c r="R103" s="45">
        <v>0.37</v>
      </c>
      <c r="S103" s="45">
        <v>0.36</v>
      </c>
      <c r="T103" s="45">
        <v>0.46</v>
      </c>
      <c r="U103" s="44">
        <v>0.69335999999999998</v>
      </c>
      <c r="V103" s="45">
        <v>0.79801</v>
      </c>
      <c r="W103" s="45">
        <v>1.0606800000000001</v>
      </c>
      <c r="X103" s="45">
        <v>1.6559900000000001</v>
      </c>
      <c r="Y103" s="45">
        <v>1.5542800000000001</v>
      </c>
    </row>
    <row r="104" spans="1:26" x14ac:dyDescent="0.3">
      <c r="A104" t="s">
        <v>80</v>
      </c>
      <c r="B104" s="22">
        <v>273</v>
      </c>
      <c r="C104" s="22">
        <v>181</v>
      </c>
      <c r="D104" s="22">
        <v>90</v>
      </c>
      <c r="E104" s="22">
        <v>366</v>
      </c>
      <c r="F104" s="22">
        <v>274</v>
      </c>
      <c r="G104" s="22">
        <v>182</v>
      </c>
      <c r="H104" s="22">
        <v>91</v>
      </c>
      <c r="I104" s="22">
        <v>365</v>
      </c>
      <c r="J104" s="22">
        <v>273</v>
      </c>
      <c r="K104" s="22">
        <v>181</v>
      </c>
      <c r="L104" s="22">
        <v>90</v>
      </c>
      <c r="M104" s="22">
        <v>365</v>
      </c>
      <c r="N104" s="22">
        <v>273</v>
      </c>
      <c r="O104" s="22">
        <v>181</v>
      </c>
      <c r="P104" s="22">
        <v>90</v>
      </c>
      <c r="Q104" s="22">
        <v>365</v>
      </c>
      <c r="R104" s="22">
        <v>273</v>
      </c>
      <c r="S104" s="22">
        <v>181</v>
      </c>
      <c r="T104" s="22">
        <v>90</v>
      </c>
      <c r="U104" s="37">
        <v>366</v>
      </c>
      <c r="V104" s="22">
        <v>275</v>
      </c>
      <c r="W104" s="22">
        <v>182</v>
      </c>
      <c r="X104" s="22">
        <v>91</v>
      </c>
      <c r="Y104" s="22">
        <v>365</v>
      </c>
    </row>
    <row r="105" spans="1:26" x14ac:dyDescent="0.3">
      <c r="E105" s="22"/>
      <c r="G105" s="22"/>
      <c r="I105" s="22"/>
      <c r="P105" s="22"/>
      <c r="Q105" s="22"/>
      <c r="R105" s="22"/>
      <c r="S105" s="22"/>
      <c r="T105" s="22"/>
      <c r="U105" s="37"/>
      <c r="V105" s="22"/>
      <c r="W105" s="22"/>
      <c r="X105" s="22"/>
    </row>
    <row r="106" spans="1:26" s="22" customFormat="1" x14ac:dyDescent="0.3">
      <c r="A106" s="22" t="s">
        <v>81</v>
      </c>
      <c r="B106" s="24">
        <v>21547</v>
      </c>
      <c r="C106" s="24">
        <v>21785</v>
      </c>
      <c r="D106" s="24">
        <v>21551</v>
      </c>
      <c r="E106" s="24">
        <v>19114</v>
      </c>
      <c r="F106" s="24">
        <v>18863</v>
      </c>
      <c r="G106" s="24">
        <v>18689</v>
      </c>
      <c r="H106" s="24">
        <v>18785</v>
      </c>
      <c r="I106" s="24">
        <v>18195</v>
      </c>
      <c r="J106" s="24">
        <v>18058</v>
      </c>
      <c r="K106" s="24">
        <v>17838</v>
      </c>
      <c r="L106" s="24">
        <v>17497</v>
      </c>
      <c r="M106" s="24">
        <v>16516</v>
      </c>
      <c r="N106" s="24">
        <v>16305</v>
      </c>
      <c r="O106" s="24">
        <v>16239</v>
      </c>
      <c r="P106" s="24">
        <v>16138</v>
      </c>
      <c r="Q106" s="24">
        <f>18090-Q107</f>
        <v>14519</v>
      </c>
      <c r="R106" s="24">
        <v>14514</v>
      </c>
      <c r="S106" s="24">
        <v>14559</v>
      </c>
      <c r="T106" s="24">
        <f>18314-T107</f>
        <v>14394</v>
      </c>
      <c r="U106" s="24">
        <v>12950</v>
      </c>
      <c r="V106" s="24">
        <v>12710</v>
      </c>
      <c r="W106" s="24">
        <v>12550</v>
      </c>
      <c r="X106" s="24">
        <v>12133</v>
      </c>
      <c r="Y106" s="24">
        <v>10650</v>
      </c>
    </row>
    <row r="107" spans="1:26" s="22" customFormat="1" x14ac:dyDescent="0.3">
      <c r="A107" s="22" t="s">
        <v>106</v>
      </c>
      <c r="B107" s="24">
        <v>3720</v>
      </c>
      <c r="C107" s="24">
        <v>3712</v>
      </c>
      <c r="D107" s="24">
        <v>3717</v>
      </c>
      <c r="E107" s="24">
        <v>3713</v>
      </c>
      <c r="F107" s="24">
        <v>3722</v>
      </c>
      <c r="G107" s="24">
        <v>3727</v>
      </c>
      <c r="H107" s="24">
        <v>3730</v>
      </c>
      <c r="I107" s="24">
        <v>3335</v>
      </c>
      <c r="J107" s="24">
        <v>3243</v>
      </c>
      <c r="K107" s="24">
        <v>3082</v>
      </c>
      <c r="L107" s="24">
        <v>3056</v>
      </c>
      <c r="M107" s="24">
        <v>3114</v>
      </c>
      <c r="N107" s="24">
        <v>3135</v>
      </c>
      <c r="O107" s="24">
        <v>3211</v>
      </c>
      <c r="P107" s="24">
        <v>3235</v>
      </c>
      <c r="Q107" s="24">
        <v>3571</v>
      </c>
      <c r="R107" s="24">
        <v>3725</v>
      </c>
      <c r="S107" s="24">
        <v>3826</v>
      </c>
      <c r="T107" s="24">
        <v>3920</v>
      </c>
      <c r="U107" s="24">
        <v>4079</v>
      </c>
      <c r="V107" s="24">
        <v>4125</v>
      </c>
      <c r="W107" s="24">
        <v>4121</v>
      </c>
      <c r="X107" s="24">
        <v>4067</v>
      </c>
      <c r="Y107" s="24">
        <v>4313</v>
      </c>
    </row>
    <row r="108" spans="1:26" s="22" customFormat="1" x14ac:dyDescent="0.3">
      <c r="A108" s="22" t="s">
        <v>82</v>
      </c>
      <c r="B108" s="24">
        <v>1183</v>
      </c>
      <c r="C108" s="24">
        <v>804</v>
      </c>
      <c r="D108" s="24">
        <v>396</v>
      </c>
      <c r="E108" s="24">
        <v>1456</v>
      </c>
      <c r="F108" s="24">
        <v>1076</v>
      </c>
      <c r="G108" s="24">
        <v>708.2</v>
      </c>
      <c r="H108" s="24">
        <v>355.5</v>
      </c>
      <c r="I108" s="24">
        <v>1250</v>
      </c>
      <c r="J108" s="24">
        <v>914</v>
      </c>
      <c r="K108" s="24">
        <v>560</v>
      </c>
      <c r="L108" s="24">
        <v>265.5</v>
      </c>
      <c r="M108" s="24">
        <v>768</v>
      </c>
      <c r="N108" s="24">
        <v>517</v>
      </c>
      <c r="O108" s="24">
        <v>327</v>
      </c>
      <c r="P108" s="24">
        <v>157.35300000000001</v>
      </c>
      <c r="Q108" s="24">
        <v>491</v>
      </c>
      <c r="R108" s="24">
        <v>362.3</v>
      </c>
      <c r="S108" s="24">
        <v>241.89999999999998</v>
      </c>
      <c r="T108" s="24">
        <v>121.5</v>
      </c>
      <c r="U108" s="48">
        <v>492.95800000000003</v>
      </c>
      <c r="V108" s="24">
        <v>380.67900000000003</v>
      </c>
      <c r="W108" s="24">
        <v>269.61900000000003</v>
      </c>
      <c r="X108" s="24">
        <v>141.172</v>
      </c>
      <c r="Y108" s="24">
        <v>466.428</v>
      </c>
    </row>
    <row r="109" spans="1:26" s="22" customFormat="1" x14ac:dyDescent="0.3">
      <c r="A109" s="22" t="s">
        <v>107</v>
      </c>
      <c r="B109" s="24">
        <v>196</v>
      </c>
      <c r="C109" s="24">
        <v>131</v>
      </c>
      <c r="D109" s="24">
        <v>66</v>
      </c>
      <c r="E109" s="24">
        <v>270</v>
      </c>
      <c r="F109" s="24">
        <v>203</v>
      </c>
      <c r="G109" s="24">
        <v>135</v>
      </c>
      <c r="H109" s="24">
        <v>67</v>
      </c>
      <c r="I109" s="24">
        <v>219</v>
      </c>
      <c r="J109" s="24">
        <v>135</v>
      </c>
      <c r="K109" s="24">
        <v>92</v>
      </c>
      <c r="L109" s="24">
        <v>44</v>
      </c>
      <c r="M109" s="24">
        <v>133</v>
      </c>
      <c r="N109" s="24">
        <v>91</v>
      </c>
      <c r="O109" s="24">
        <v>58</v>
      </c>
      <c r="P109" s="24">
        <v>29</v>
      </c>
      <c r="Q109" s="24">
        <v>109</v>
      </c>
      <c r="R109" s="24">
        <v>83</v>
      </c>
      <c r="S109" s="24">
        <v>57.6</v>
      </c>
      <c r="T109" s="24">
        <v>30</v>
      </c>
      <c r="U109" s="48">
        <v>144</v>
      </c>
      <c r="V109" s="24">
        <v>115</v>
      </c>
      <c r="W109" s="24">
        <v>83.8</v>
      </c>
      <c r="X109" s="24">
        <v>45.5</v>
      </c>
      <c r="Y109" s="24">
        <v>176.833</v>
      </c>
    </row>
    <row r="110" spans="1:26" s="22" customFormat="1" x14ac:dyDescent="0.3">
      <c r="A110" s="32" t="s">
        <v>83</v>
      </c>
      <c r="B110" s="54">
        <f>+(B106+B107)*B103%*B104/365</f>
        <v>842.86558520547942</v>
      </c>
      <c r="C110" s="54">
        <f>+(C106+C107)*C103%*C104/365</f>
        <v>576.55353205479457</v>
      </c>
      <c r="D110" s="54">
        <f>+(D106+D107)*D103%*D104/365</f>
        <v>283.48619178082191</v>
      </c>
      <c r="E110" s="54">
        <f>+(E106+E107)*E103%*E104/366</f>
        <v>1077.4343999999999</v>
      </c>
      <c r="F110" s="54">
        <f>+(F106+F107)*F103%*F104/366</f>
        <v>798.0526994535519</v>
      </c>
      <c r="G110" s="54">
        <f>+(G106+G107)*G103%*G104/366</f>
        <v>526.12679344262301</v>
      </c>
      <c r="H110" s="54">
        <f>+(H106+H107)*H103%*H104/366</f>
        <v>263.66541393442623</v>
      </c>
      <c r="I110" s="54">
        <f t="shared" ref="I110" si="175">+(I106+I107)*I103%*I104/365</f>
        <v>893.495</v>
      </c>
      <c r="J110" s="54">
        <f t="shared" ref="J110:K110" si="176">+(J106+J107)*J103%*J104/365</f>
        <v>630.90644054794518</v>
      </c>
      <c r="K110" s="54">
        <f t="shared" si="176"/>
        <v>374.50238904109591</v>
      </c>
      <c r="L110" s="54">
        <f t="shared" ref="L110:Q110" si="177">+(L106+L107)*L103%*L104/365</f>
        <v>168.75983835616441</v>
      </c>
      <c r="M110" s="54">
        <f t="shared" si="177"/>
        <v>400.45200000000006</v>
      </c>
      <c r="N110" s="54">
        <f t="shared" si="177"/>
        <v>235.5488876712329</v>
      </c>
      <c r="O110" s="54">
        <f t="shared" si="177"/>
        <v>120.56335616438356</v>
      </c>
      <c r="P110" s="49">
        <f t="shared" si="177"/>
        <v>55.889778082191775</v>
      </c>
      <c r="Q110" s="49">
        <f t="shared" si="177"/>
        <v>85.022999999999982</v>
      </c>
      <c r="R110" s="49">
        <v>50.47455863013699</v>
      </c>
      <c r="S110" s="49">
        <v>32.821002739726026</v>
      </c>
      <c r="T110" s="49">
        <f>+(T106+T107)*T103%*T104/365</f>
        <v>20.772591780821919</v>
      </c>
      <c r="U110" s="49">
        <f>+(U106+U107)*U103%*U104/366</f>
        <v>118.0722744</v>
      </c>
      <c r="V110" s="49">
        <f t="shared" ref="V110:W110" si="178">+(V106+V107)*V103%*V104/366</f>
        <v>100.94226902322406</v>
      </c>
      <c r="W110" s="49">
        <f t="shared" si="178"/>
        <v>87.929850354098363</v>
      </c>
      <c r="X110" s="49">
        <f>+(X106+X107)*X103%*X104/366</f>
        <v>66.701105409836075</v>
      </c>
      <c r="Y110" s="49">
        <f>+(Y106+Y107)*Y103%*Y104/365</f>
        <v>232.5669164</v>
      </c>
    </row>
    <row r="111" spans="1:26" s="22" customFormat="1" x14ac:dyDescent="0.3">
      <c r="A111" s="22" t="s">
        <v>84</v>
      </c>
      <c r="B111" s="60">
        <f>+B109+B108-B110</f>
        <v>536.13441479452058</v>
      </c>
      <c r="C111" s="60">
        <f>+C109+C108-C110</f>
        <v>358.44646794520543</v>
      </c>
      <c r="D111" s="60">
        <f>+D109+D108-D110</f>
        <v>178.51380821917809</v>
      </c>
      <c r="E111" s="60">
        <f>+E109+E108-E110</f>
        <v>648.56560000000013</v>
      </c>
      <c r="F111" s="60">
        <f t="shared" ref="F111:G111" si="179">+F109+F108-F110</f>
        <v>480.9473005464481</v>
      </c>
      <c r="G111" s="60">
        <f t="shared" si="179"/>
        <v>317.07320655737703</v>
      </c>
      <c r="H111" s="60">
        <f t="shared" ref="H111:I111" si="180">+H109+H108-H110</f>
        <v>158.83458606557377</v>
      </c>
      <c r="I111" s="60">
        <f t="shared" si="180"/>
        <v>575.505</v>
      </c>
      <c r="J111" s="60">
        <f t="shared" ref="J111:K111" si="181">+J109+J108-J110</f>
        <v>418.09355945205482</v>
      </c>
      <c r="K111" s="60">
        <f t="shared" si="181"/>
        <v>277.49761095890409</v>
      </c>
      <c r="L111" s="60">
        <f t="shared" ref="L111:Q111" si="182">+L109+L108-L110</f>
        <v>140.74016164383559</v>
      </c>
      <c r="M111" s="60">
        <f t="shared" si="182"/>
        <v>500.54799999999994</v>
      </c>
      <c r="N111" s="60">
        <f t="shared" si="182"/>
        <v>372.45111232876707</v>
      </c>
      <c r="O111" s="60">
        <f t="shared" si="182"/>
        <v>264.43664383561645</v>
      </c>
      <c r="P111" s="63">
        <f t="shared" si="182"/>
        <v>130.46322191780823</v>
      </c>
      <c r="Q111" s="48">
        <f t="shared" si="182"/>
        <v>514.97699999999998</v>
      </c>
      <c r="R111" s="48">
        <v>394.82544136986303</v>
      </c>
      <c r="S111" s="48">
        <v>266.67899726027395</v>
      </c>
      <c r="T111" s="48">
        <f>+T109+T108-T110</f>
        <v>130.72740821917807</v>
      </c>
      <c r="U111" s="48">
        <f>+U109+U108-U110</f>
        <v>518.88572560000011</v>
      </c>
      <c r="V111" s="48">
        <f t="shared" ref="V111:Y111" si="183">+V109+V108-V110</f>
        <v>394.73673097677596</v>
      </c>
      <c r="W111" s="48">
        <f t="shared" si="183"/>
        <v>265.48914964590165</v>
      </c>
      <c r="X111" s="48">
        <f>+X109+X108-X110</f>
        <v>119.97089459016392</v>
      </c>
      <c r="Y111" s="48">
        <f t="shared" si="183"/>
        <v>410.6940836</v>
      </c>
    </row>
    <row r="112" spans="1:26" s="41" customFormat="1" ht="15" thickBot="1" x14ac:dyDescent="0.35">
      <c r="A112" s="14" t="s">
        <v>85</v>
      </c>
      <c r="B112" s="20">
        <f t="shared" ref="B112" si="184">+B111*(366/B104)/(B106+B107)</f>
        <v>2.8447129102909065E-2</v>
      </c>
      <c r="C112" s="20">
        <f t="shared" ref="C112:H112" si="185">+C111*(366/C104)/(C106+C107)</f>
        <v>2.8427438710251295E-2</v>
      </c>
      <c r="D112" s="20">
        <f t="shared" si="185"/>
        <v>2.8730257773652741E-2</v>
      </c>
      <c r="E112" s="20">
        <f t="shared" si="185"/>
        <v>2.8412213606693833E-2</v>
      </c>
      <c r="F112" s="20">
        <f t="shared" si="185"/>
        <v>2.8445129753130512E-2</v>
      </c>
      <c r="G112" s="20">
        <f t="shared" si="185"/>
        <v>2.8445339671035599E-2</v>
      </c>
      <c r="H112" s="20">
        <f t="shared" si="185"/>
        <v>2.8373493861235367E-2</v>
      </c>
      <c r="I112" s="20">
        <f t="shared" ref="I112" si="186">+I111*(365/I104)/(I106+I107)</f>
        <v>2.6730376219228982E-2</v>
      </c>
      <c r="J112" s="20">
        <f t="shared" ref="J112:K112" si="187">+J111*(365/J104)/(J106+J107)</f>
        <v>2.6242409159624315E-2</v>
      </c>
      <c r="K112" s="20">
        <f t="shared" si="187"/>
        <v>2.6749265288444266E-2</v>
      </c>
      <c r="L112" s="20">
        <f t="shared" ref="L112:Q112" si="188">+L111*(365/L104)/(L106+L107)</f>
        <v>2.7771106137519794E-2</v>
      </c>
      <c r="M112" s="20">
        <f t="shared" si="188"/>
        <v>2.5499133978604174E-2</v>
      </c>
      <c r="N112" s="20">
        <f t="shared" si="188"/>
        <v>2.5615523297004773E-2</v>
      </c>
      <c r="O112" s="20">
        <f t="shared" si="188"/>
        <v>2.7416772003579087E-2</v>
      </c>
      <c r="P112" s="20">
        <f t="shared" si="188"/>
        <v>2.7311249906800415E-2</v>
      </c>
      <c r="Q112" s="20">
        <f t="shared" si="188"/>
        <v>2.8467495854063017E-2</v>
      </c>
      <c r="R112" s="20">
        <v>2.8942385485194847E-2</v>
      </c>
      <c r="S112" s="20">
        <v>2.9250915876953498E-2</v>
      </c>
      <c r="T112" s="20">
        <f>+T111*(365/T104)/(T106+T107)</f>
        <v>2.894901532525208E-2</v>
      </c>
      <c r="U112" s="20">
        <f>+U111*(366/U104)/(U106+U107)</f>
        <v>3.047071029420401E-2</v>
      </c>
      <c r="V112" s="20">
        <f t="shared" ref="V112:X112" si="189">+V111*(366/V104)/(V106+V107)</f>
        <v>3.1206338210438209E-2</v>
      </c>
      <c r="W112" s="20">
        <f t="shared" si="189"/>
        <v>3.2025419139507245E-2</v>
      </c>
      <c r="X112" s="20">
        <f t="shared" si="189"/>
        <v>2.9785203785103784E-2</v>
      </c>
      <c r="Y112" s="20">
        <f>+Y111*(365/Y104)/(Y106+Y107)</f>
        <v>2.7447308935373921E-2</v>
      </c>
      <c r="Z112" s="22"/>
    </row>
    <row r="113" spans="1:26" s="22" customFormat="1" hidden="1" x14ac:dyDescent="0.3">
      <c r="B113" s="50"/>
      <c r="C113" s="76"/>
      <c r="D113" s="50"/>
      <c r="E113" s="50"/>
      <c r="F113" s="50"/>
      <c r="G113" s="64"/>
      <c r="H113" s="64"/>
      <c r="I113" s="50"/>
      <c r="J113" s="64"/>
      <c r="K113" s="64"/>
      <c r="L113" s="50"/>
      <c r="M113" s="64"/>
      <c r="N113" s="64"/>
      <c r="O113" s="64"/>
      <c r="P113" s="50"/>
      <c r="Q113" s="50">
        <f>+(Q108+Q109)*(365/Q104)/(Q106+Q107)</f>
        <v>3.316749585406302E-2</v>
      </c>
      <c r="R113" s="50">
        <v>3.2642385485194846E-2</v>
      </c>
      <c r="S113" s="50">
        <v>3.2850915876953497E-2</v>
      </c>
      <c r="T113" s="50">
        <f>+(T108+T109)*(365/T104)/(T106+T107)</f>
        <v>3.3549015325252084E-2</v>
      </c>
      <c r="U113" s="46"/>
      <c r="V113" s="47"/>
      <c r="W113" s="47"/>
      <c r="X113" s="47"/>
      <c r="Y113" s="47"/>
    </row>
    <row r="114" spans="1:26" s="22" customFormat="1" hidden="1" x14ac:dyDescent="0.3">
      <c r="B114" s="50"/>
      <c r="C114" s="76"/>
      <c r="D114" s="50"/>
      <c r="E114" s="50"/>
      <c r="F114" s="50"/>
      <c r="G114" s="64"/>
      <c r="H114" s="64"/>
      <c r="I114" s="50"/>
      <c r="J114" s="64"/>
      <c r="K114" s="64"/>
      <c r="L114" s="50"/>
      <c r="M114" s="64"/>
      <c r="N114" s="64"/>
      <c r="O114" s="64"/>
      <c r="P114" s="50"/>
      <c r="Q114" s="50">
        <f>+(Q108)*(365/Q104)/(Q106)</f>
        <v>3.3817756043804673E-2</v>
      </c>
      <c r="R114" s="50">
        <v>3.3374243688423101E-2</v>
      </c>
      <c r="S114" s="50">
        <v>3.3505693541121873E-2</v>
      </c>
      <c r="T114" s="50">
        <f>+(T108)*(365/T104)/(T106)</f>
        <v>3.4233013755731553E-2</v>
      </c>
      <c r="U114" s="46"/>
      <c r="V114" s="47"/>
      <c r="W114" s="47"/>
      <c r="X114" s="47"/>
      <c r="Y114" s="47"/>
    </row>
    <row r="115" spans="1:26" s="22" customFormat="1" hidden="1" x14ac:dyDescent="0.3">
      <c r="B115" s="50"/>
      <c r="C115" s="76"/>
      <c r="D115" s="50"/>
      <c r="E115" s="50"/>
      <c r="F115" s="50"/>
      <c r="G115" s="64"/>
      <c r="H115" s="64"/>
      <c r="I115" s="50"/>
      <c r="J115" s="64"/>
      <c r="K115" s="64"/>
      <c r="L115" s="50"/>
      <c r="M115" s="64"/>
      <c r="N115" s="64"/>
      <c r="O115" s="64"/>
      <c r="P115" s="50"/>
      <c r="Q115" s="50">
        <f>+(Q109)*(365/Q104)/(Q107)</f>
        <v>3.0523662839540746E-2</v>
      </c>
      <c r="R115" s="50">
        <v>2.9790790864616366E-2</v>
      </c>
      <c r="S115" s="50">
        <v>3.0359303746104731E-2</v>
      </c>
      <c r="T115" s="50">
        <f>+(T109)*(365/T104)/(T107)</f>
        <v>3.1037414965986391E-2</v>
      </c>
      <c r="U115" s="46"/>
      <c r="V115" s="47"/>
      <c r="W115" s="47"/>
      <c r="X115" s="47"/>
      <c r="Y115" s="47"/>
    </row>
    <row r="116" spans="1:26" s="22" customFormat="1" x14ac:dyDescent="0.3">
      <c r="B116" s="74"/>
      <c r="C116" s="74"/>
      <c r="D116" s="74"/>
      <c r="E116" s="74"/>
      <c r="F116" s="74"/>
      <c r="G116" s="71"/>
      <c r="H116" s="71"/>
      <c r="J116" s="17"/>
      <c r="K116" s="17"/>
      <c r="M116" s="17"/>
      <c r="N116" s="17"/>
      <c r="O116" s="17"/>
      <c r="U116" s="37"/>
    </row>
    <row r="117" spans="1:26" s="22" customFormat="1" x14ac:dyDescent="0.3">
      <c r="B117" s="74"/>
      <c r="C117" s="74"/>
      <c r="D117" s="74"/>
      <c r="E117" s="74"/>
      <c r="F117" s="74"/>
      <c r="G117" s="71"/>
      <c r="H117" s="71"/>
      <c r="J117" s="17"/>
      <c r="K117" s="17"/>
      <c r="M117" s="17"/>
      <c r="N117" s="17"/>
      <c r="O117" s="17"/>
      <c r="U117" s="37"/>
    </row>
    <row r="118" spans="1:26" s="22" customFormat="1" x14ac:dyDescent="0.3">
      <c r="A118" s="22" t="s">
        <v>86</v>
      </c>
      <c r="B118" s="24">
        <v>21824</v>
      </c>
      <c r="C118" s="24">
        <v>21731</v>
      </c>
      <c r="D118" s="24">
        <v>21683</v>
      </c>
      <c r="E118" s="24">
        <v>21281</v>
      </c>
      <c r="F118" s="24">
        <v>21029</v>
      </c>
      <c r="G118" s="24">
        <v>20667</v>
      </c>
      <c r="H118" s="24">
        <v>20226</v>
      </c>
      <c r="I118" s="24">
        <v>18975</v>
      </c>
      <c r="J118" s="24">
        <v>18743</v>
      </c>
      <c r="K118" s="24">
        <v>18570</v>
      </c>
      <c r="L118" s="24">
        <v>18605</v>
      </c>
      <c r="M118" s="24">
        <v>18257</v>
      </c>
      <c r="N118" s="24">
        <v>18038</v>
      </c>
      <c r="O118" s="24">
        <v>17567</v>
      </c>
      <c r="P118" s="24">
        <v>17450</v>
      </c>
      <c r="Q118" s="24">
        <f>30997-Q119</f>
        <v>16026</v>
      </c>
      <c r="R118" s="24">
        <v>15322</v>
      </c>
      <c r="S118" s="24">
        <v>15020</v>
      </c>
      <c r="T118" s="24">
        <f>29379-T119</f>
        <v>14834</v>
      </c>
      <c r="U118" s="24">
        <v>13500</v>
      </c>
      <c r="V118" s="24">
        <v>13090</v>
      </c>
      <c r="W118" s="24">
        <v>13125</v>
      </c>
      <c r="X118" s="24">
        <v>13701</v>
      </c>
      <c r="Y118" s="24">
        <v>12910</v>
      </c>
    </row>
    <row r="119" spans="1:26" s="22" customFormat="1" x14ac:dyDescent="0.3">
      <c r="A119" s="22" t="s">
        <v>108</v>
      </c>
      <c r="B119" s="24">
        <v>20295</v>
      </c>
      <c r="C119" s="24">
        <v>20165</v>
      </c>
      <c r="D119" s="24">
        <v>20078</v>
      </c>
      <c r="E119" s="24">
        <v>19030</v>
      </c>
      <c r="F119" s="24">
        <v>18870</v>
      </c>
      <c r="G119" s="24">
        <v>18741</v>
      </c>
      <c r="H119" s="24">
        <v>18599</v>
      </c>
      <c r="I119" s="24">
        <v>18107</v>
      </c>
      <c r="J119" s="24">
        <v>18055</v>
      </c>
      <c r="K119" s="24">
        <v>17976</v>
      </c>
      <c r="L119" s="24">
        <v>17768</v>
      </c>
      <c r="M119" s="24">
        <v>16567</v>
      </c>
      <c r="N119" s="24">
        <v>16379</v>
      </c>
      <c r="O119" s="24">
        <v>16186</v>
      </c>
      <c r="P119" s="24">
        <v>16084</v>
      </c>
      <c r="Q119" s="24">
        <v>14971</v>
      </c>
      <c r="R119" s="24">
        <v>14794</v>
      </c>
      <c r="S119" s="24">
        <v>14811</v>
      </c>
      <c r="T119" s="24">
        <v>14545</v>
      </c>
      <c r="U119" s="24">
        <v>13765</v>
      </c>
      <c r="V119" s="24">
        <v>13622</v>
      </c>
      <c r="W119" s="24">
        <v>13458</v>
      </c>
      <c r="X119" s="24">
        <v>13034</v>
      </c>
      <c r="Y119" s="24">
        <v>12210</v>
      </c>
    </row>
    <row r="120" spans="1:26" s="22" customFormat="1" x14ac:dyDescent="0.3">
      <c r="A120" s="22" t="s">
        <v>87</v>
      </c>
      <c r="B120" s="24">
        <v>971</v>
      </c>
      <c r="C120" s="24">
        <v>645</v>
      </c>
      <c r="D120" s="24">
        <v>321</v>
      </c>
      <c r="E120" s="24">
        <v>1276</v>
      </c>
      <c r="F120" s="24">
        <v>940</v>
      </c>
      <c r="G120" s="24">
        <v>615.5</v>
      </c>
      <c r="H120" s="24">
        <v>301</v>
      </c>
      <c r="I120" s="24">
        <v>969</v>
      </c>
      <c r="J120" s="24">
        <v>757</v>
      </c>
      <c r="K120" s="24">
        <v>423</v>
      </c>
      <c r="L120" s="24">
        <v>210</v>
      </c>
      <c r="M120" s="24">
        <v>575</v>
      </c>
      <c r="N120" s="24">
        <v>388</v>
      </c>
      <c r="O120" s="24">
        <v>240</v>
      </c>
      <c r="P120" s="24">
        <v>115.334</v>
      </c>
      <c r="Q120" s="24">
        <v>397</v>
      </c>
      <c r="R120" s="24">
        <v>290.7</v>
      </c>
      <c r="S120" s="24">
        <v>191</v>
      </c>
      <c r="T120" s="24">
        <v>94.3</v>
      </c>
      <c r="U120" s="48">
        <v>412.38</v>
      </c>
      <c r="V120" s="24">
        <v>317.82299999999998</v>
      </c>
      <c r="W120" s="24">
        <v>222.56</v>
      </c>
      <c r="X120" s="24">
        <v>125.17700000000001</v>
      </c>
      <c r="Y120" s="24">
        <v>446.20400000000001</v>
      </c>
    </row>
    <row r="121" spans="1:26" s="22" customFormat="1" x14ac:dyDescent="0.3">
      <c r="A121" s="22" t="s">
        <v>109</v>
      </c>
      <c r="B121" s="24">
        <v>847</v>
      </c>
      <c r="C121" s="24">
        <v>562</v>
      </c>
      <c r="D121" s="24">
        <v>278</v>
      </c>
      <c r="E121" s="24">
        <v>1077</v>
      </c>
      <c r="F121" s="24">
        <v>800</v>
      </c>
      <c r="G121" s="24">
        <v>528</v>
      </c>
      <c r="H121" s="24">
        <v>262</v>
      </c>
      <c r="I121" s="24">
        <v>869</v>
      </c>
      <c r="J121" s="24">
        <v>547</v>
      </c>
      <c r="K121" s="24">
        <v>390</v>
      </c>
      <c r="L121" s="24">
        <v>186</v>
      </c>
      <c r="M121" s="24">
        <v>454</v>
      </c>
      <c r="N121" s="24">
        <v>297</v>
      </c>
      <c r="O121" s="24">
        <v>183</v>
      </c>
      <c r="P121" s="24">
        <v>87</v>
      </c>
      <c r="Q121" s="24">
        <v>290</v>
      </c>
      <c r="R121" s="24">
        <v>212</v>
      </c>
      <c r="S121" s="24">
        <v>139.69999999999999</v>
      </c>
      <c r="T121" s="24">
        <v>69.3</v>
      </c>
      <c r="U121" s="48">
        <v>323.60000000000002</v>
      </c>
      <c r="V121" s="24">
        <v>254.3</v>
      </c>
      <c r="W121" s="24">
        <v>185.2</v>
      </c>
      <c r="X121" s="24">
        <v>100.78</v>
      </c>
      <c r="Y121" s="24">
        <v>346.76</v>
      </c>
    </row>
    <row r="122" spans="1:26" s="22" customFormat="1" x14ac:dyDescent="0.3">
      <c r="A122" s="32" t="s">
        <v>83</v>
      </c>
      <c r="B122" s="54">
        <f t="shared" ref="B122" si="190">+(B118+B119)*B103%*B104/366</f>
        <v>1401.1817491803279</v>
      </c>
      <c r="C122" s="54">
        <f t="shared" ref="C122:H122" si="191">+(C118+C119)*C103%*C104/366</f>
        <v>944.78914098360633</v>
      </c>
      <c r="D122" s="54">
        <f t="shared" si="191"/>
        <v>467.24397540983603</v>
      </c>
      <c r="E122" s="54">
        <f t="shared" si="191"/>
        <v>1902.6792000000003</v>
      </c>
      <c r="F122" s="54">
        <f t="shared" si="191"/>
        <v>1409.8518775956284</v>
      </c>
      <c r="G122" s="54">
        <f t="shared" si="191"/>
        <v>924.94667540983596</v>
      </c>
      <c r="H122" s="54">
        <f t="shared" si="191"/>
        <v>454.6662090163934</v>
      </c>
      <c r="I122" s="54">
        <f t="shared" ref="I122" si="192">+(I118+I119)*I103%*I104/365</f>
        <v>1538.903</v>
      </c>
      <c r="J122" s="54">
        <f t="shared" ref="J122:K122" si="193">+(J118+J119)*J103%*J104/365</f>
        <v>1089.9063517808218</v>
      </c>
      <c r="K122" s="54">
        <f t="shared" si="193"/>
        <v>654.23347561643834</v>
      </c>
      <c r="L122" s="54">
        <f t="shared" ref="L122:Q122" si="194">+(L118+L119)*L103%*L104/365</f>
        <v>298.65720821917813</v>
      </c>
      <c r="M122" s="54">
        <f t="shared" si="194"/>
        <v>710.40960000000007</v>
      </c>
      <c r="N122" s="54">
        <f t="shared" si="194"/>
        <v>417.02088821917812</v>
      </c>
      <c r="O122" s="54">
        <f t="shared" si="194"/>
        <v>209.22236301369864</v>
      </c>
      <c r="P122" s="49">
        <f t="shared" si="194"/>
        <v>96.74329315068492</v>
      </c>
      <c r="Q122" s="49">
        <f t="shared" si="194"/>
        <v>145.68589999999998</v>
      </c>
      <c r="R122" s="49">
        <v>83.342935890410956</v>
      </c>
      <c r="S122" s="49">
        <v>53.25446465753425</v>
      </c>
      <c r="T122" s="49">
        <f>+(T118+T119)*T103%*T104/365</f>
        <v>33.323030136986297</v>
      </c>
      <c r="U122" s="49">
        <f>+(U118+U119)*U103%*U104/366</f>
        <v>189.04460400000002</v>
      </c>
      <c r="V122" s="49">
        <f t="shared" ref="V122:X122" si="195">+(V118+V119)*V103%*V104/366</f>
        <v>160.16453163934429</v>
      </c>
      <c r="W122" s="49">
        <f t="shared" si="195"/>
        <v>140.2098981442623</v>
      </c>
      <c r="X122" s="49">
        <f t="shared" si="195"/>
        <v>110.07741068715848</v>
      </c>
      <c r="Y122" s="49">
        <f>+(Y118+Y119)*Y103%*Y104/365</f>
        <v>390.435136</v>
      </c>
    </row>
    <row r="123" spans="1:26" s="22" customFormat="1" x14ac:dyDescent="0.3">
      <c r="A123" s="22" t="s">
        <v>84</v>
      </c>
      <c r="B123" s="60">
        <f t="shared" ref="B123" si="196">+B121+B120-B122</f>
        <v>416.81825081967213</v>
      </c>
      <c r="C123" s="60">
        <f t="shared" ref="C123:D123" si="197">+C121+C120-C122</f>
        <v>262.21085901639367</v>
      </c>
      <c r="D123" s="60">
        <f t="shared" si="197"/>
        <v>131.75602459016397</v>
      </c>
      <c r="E123" s="60">
        <f t="shared" ref="E123:F123" si="198">+E121+E120-E122</f>
        <v>450.32079999999974</v>
      </c>
      <c r="F123" s="60">
        <f t="shared" si="198"/>
        <v>330.14812240437163</v>
      </c>
      <c r="G123" s="60">
        <f t="shared" ref="G123:H123" si="199">+G121+G120-G122</f>
        <v>218.55332459016404</v>
      </c>
      <c r="H123" s="60">
        <f t="shared" si="199"/>
        <v>108.3337909836066</v>
      </c>
      <c r="I123" s="60">
        <f t="shared" ref="I123:J123" si="200">+I121+I120-I122</f>
        <v>299.09699999999998</v>
      </c>
      <c r="J123" s="60">
        <f t="shared" si="200"/>
        <v>214.09364821917825</v>
      </c>
      <c r="K123" s="60">
        <f t="shared" ref="K123:P123" si="201">+K121+K120-K122</f>
        <v>158.76652438356166</v>
      </c>
      <c r="L123" s="60">
        <f t="shared" si="201"/>
        <v>97.342791780821869</v>
      </c>
      <c r="M123" s="60">
        <f t="shared" si="201"/>
        <v>318.59039999999993</v>
      </c>
      <c r="N123" s="60">
        <f t="shared" si="201"/>
        <v>267.97911178082188</v>
      </c>
      <c r="O123" s="60">
        <f t="shared" si="201"/>
        <v>213.77763698630136</v>
      </c>
      <c r="P123" s="63">
        <f t="shared" si="201"/>
        <v>105.59070684931508</v>
      </c>
      <c r="Q123" s="48">
        <f t="shared" ref="Q123:T123" si="202">+Q121+Q120-Q122</f>
        <v>541.31410000000005</v>
      </c>
      <c r="R123" s="48">
        <v>419.35706410958903</v>
      </c>
      <c r="S123" s="48">
        <v>277.44553534246575</v>
      </c>
      <c r="T123" s="48">
        <f t="shared" si="202"/>
        <v>130.2769698630137</v>
      </c>
      <c r="U123" s="48">
        <f>+U121+U120-U122</f>
        <v>546.93539599999997</v>
      </c>
      <c r="V123" s="48">
        <f t="shared" ref="V123:Y123" si="203">+V121+V120-V122</f>
        <v>411.95846836065573</v>
      </c>
      <c r="W123" s="48">
        <f t="shared" si="203"/>
        <v>267.55010185573769</v>
      </c>
      <c r="X123" s="48">
        <f t="shared" si="203"/>
        <v>115.87958931284152</v>
      </c>
      <c r="Y123" s="48">
        <f t="shared" si="203"/>
        <v>402.52886399999994</v>
      </c>
    </row>
    <row r="124" spans="1:26" s="41" customFormat="1" ht="15" thickBot="1" x14ac:dyDescent="0.35">
      <c r="A124" s="14" t="s">
        <v>88</v>
      </c>
      <c r="B124" s="20">
        <f t="shared" ref="B124" si="204">+B123*(366/B104)/(B118+B119)</f>
        <v>1.3267439429204901E-2</v>
      </c>
      <c r="C124" s="20">
        <f t="shared" ref="C124:H124" si="205">+C123*(366/C104)/(C118+C119)</f>
        <v>1.2655538312706983E-2</v>
      </c>
      <c r="D124" s="20">
        <f t="shared" si="205"/>
        <v>1.2830340109990984E-2</v>
      </c>
      <c r="E124" s="20">
        <f t="shared" si="205"/>
        <v>1.1171164198357762E-2</v>
      </c>
      <c r="F124" s="20">
        <f t="shared" si="205"/>
        <v>1.1052928059408402E-2</v>
      </c>
      <c r="G124" s="20">
        <f t="shared" si="205"/>
        <v>1.1152769337848515E-2</v>
      </c>
      <c r="H124" s="20">
        <f t="shared" si="205"/>
        <v>1.122256603666778E-2</v>
      </c>
      <c r="I124" s="20">
        <f t="shared" ref="I124" si="206">+I123*(365/I104)/(I118+I119)</f>
        <v>8.0658270859176959E-3</v>
      </c>
      <c r="J124" s="20">
        <f t="shared" ref="J124:K124" si="207">+J123*(365/J104)/(J118+J119)</f>
        <v>7.7787494821246706E-3</v>
      </c>
      <c r="K124" s="20">
        <f t="shared" si="207"/>
        <v>8.7605904372994869E-3</v>
      </c>
      <c r="L124" s="20">
        <f t="shared" ref="L124:Q124" si="208">+L123*(365/L104)/(L118+L119)</f>
        <v>1.0853630440161653E-2</v>
      </c>
      <c r="M124" s="20">
        <f t="shared" si="208"/>
        <v>9.1485871812543047E-3</v>
      </c>
      <c r="N124" s="20">
        <f t="shared" si="208"/>
        <v>1.041017784357994E-2</v>
      </c>
      <c r="O124" s="20">
        <f t="shared" si="208"/>
        <v>1.2772155059513433E-2</v>
      </c>
      <c r="P124" s="20">
        <f t="shared" si="208"/>
        <v>1.2769993969636125E-2</v>
      </c>
      <c r="Q124" s="20">
        <f t="shared" si="208"/>
        <v>1.7463435171145597E-2</v>
      </c>
      <c r="R124" s="20">
        <v>1.8617308361271703E-2</v>
      </c>
      <c r="S124" s="20">
        <v>1.8755308754973457E-2</v>
      </c>
      <c r="T124" s="20">
        <f>+T123*(365/T104)/(T118+T119)</f>
        <v>1.7983780553759109E-2</v>
      </c>
      <c r="U124" s="20">
        <f>+U123*(366/U104)/(U118+U119)</f>
        <v>2.0059981514762515E-2</v>
      </c>
      <c r="V124" s="20">
        <f>+V123*(366/V104)/(V118+V119)</f>
        <v>2.0525579163603688E-2</v>
      </c>
      <c r="W124" s="20">
        <f t="shared" ref="W124:X124" si="209">+W123*(366/W104)/(W118+W119)</f>
        <v>2.0240014848620515E-2</v>
      </c>
      <c r="X124" s="20">
        <f t="shared" si="209"/>
        <v>1.7432772074512357E-2</v>
      </c>
      <c r="Y124" s="20">
        <f>+Y123*(365/Y104)/(Y118+Y119)</f>
        <v>1.6024238216560509E-2</v>
      </c>
      <c r="Z124" s="22"/>
    </row>
    <row r="125" spans="1:26" s="41" customFormat="1" x14ac:dyDescent="0.3">
      <c r="B125" s="33"/>
      <c r="C125" s="33"/>
      <c r="D125" s="33"/>
      <c r="E125" s="33"/>
      <c r="F125" s="33"/>
      <c r="G125" s="33"/>
      <c r="H125" s="65"/>
      <c r="I125" s="33"/>
      <c r="J125" s="65"/>
      <c r="K125" s="65"/>
      <c r="L125" s="65"/>
      <c r="M125" s="65"/>
      <c r="N125" s="33"/>
      <c r="O125" s="65"/>
      <c r="P125" s="33"/>
      <c r="Q125" s="47"/>
      <c r="R125" s="47"/>
      <c r="S125" s="47"/>
      <c r="T125" s="43"/>
      <c r="U125" s="42"/>
      <c r="V125" s="43"/>
      <c r="W125" s="43"/>
      <c r="X125" s="43"/>
      <c r="Y125" s="43"/>
      <c r="Z125" s="22"/>
    </row>
    <row r="126" spans="1:26" x14ac:dyDescent="0.3">
      <c r="A126" s="22"/>
      <c r="B126" s="33"/>
      <c r="C126" s="33"/>
      <c r="D126" s="33"/>
      <c r="E126" s="33"/>
      <c r="F126" s="33"/>
      <c r="G126" s="33"/>
      <c r="H126" s="65"/>
      <c r="I126" s="33"/>
      <c r="J126" s="65"/>
      <c r="K126" s="65"/>
      <c r="L126" s="65"/>
      <c r="M126" s="65"/>
      <c r="N126" s="65"/>
      <c r="O126" s="65"/>
      <c r="P126" s="33"/>
      <c r="Q126" s="47"/>
      <c r="R126" s="47"/>
      <c r="S126" s="47"/>
      <c r="T126" s="47"/>
      <c r="U126" s="46"/>
      <c r="V126" s="47"/>
      <c r="W126" s="47"/>
      <c r="X126" s="47"/>
      <c r="Y126" s="47"/>
    </row>
    <row r="127" spans="1:26" x14ac:dyDescent="0.3">
      <c r="A127" s="22" t="s">
        <v>89</v>
      </c>
      <c r="B127" s="24">
        <v>27479</v>
      </c>
      <c r="C127" s="24">
        <v>27078</v>
      </c>
      <c r="D127" s="24">
        <v>26802</v>
      </c>
      <c r="E127" s="24">
        <v>25366</v>
      </c>
      <c r="F127" s="24">
        <v>25107</v>
      </c>
      <c r="G127" s="24">
        <v>24725</v>
      </c>
      <c r="H127" s="24">
        <v>24398</v>
      </c>
      <c r="I127" s="24">
        <v>24417.5</v>
      </c>
      <c r="J127" s="24">
        <v>24333</v>
      </c>
      <c r="K127" s="24">
        <v>24056</v>
      </c>
      <c r="L127" s="24">
        <v>23936</v>
      </c>
      <c r="M127" s="24">
        <v>24110</v>
      </c>
      <c r="N127" s="24">
        <v>24048</v>
      </c>
      <c r="O127" s="24">
        <v>23605</v>
      </c>
      <c r="P127" s="24">
        <v>22926</v>
      </c>
      <c r="Q127" s="24">
        <f>18448+1184</f>
        <v>19632</v>
      </c>
      <c r="R127" s="24">
        <v>18866</v>
      </c>
      <c r="S127" s="24">
        <v>18202.5</v>
      </c>
      <c r="T127" s="24">
        <v>17913</v>
      </c>
      <c r="U127" s="48">
        <v>16587</v>
      </c>
      <c r="V127" s="24">
        <v>16295</v>
      </c>
      <c r="W127" s="24">
        <v>15959</v>
      </c>
      <c r="X127" s="24">
        <v>15676</v>
      </c>
      <c r="Y127" s="24">
        <v>15189</v>
      </c>
    </row>
    <row r="128" spans="1:26" x14ac:dyDescent="0.3">
      <c r="A128" s="22"/>
      <c r="B128" s="24"/>
      <c r="C128" s="24"/>
      <c r="D128" s="24"/>
      <c r="E128" s="24"/>
      <c r="F128" s="24"/>
      <c r="G128" s="24"/>
      <c r="H128" s="25"/>
      <c r="I128" s="24"/>
      <c r="J128" s="25"/>
      <c r="K128" s="25"/>
      <c r="L128" s="24"/>
      <c r="M128" s="24"/>
      <c r="N128" s="25"/>
      <c r="O128" s="25"/>
      <c r="P128" s="24"/>
      <c r="Q128" s="24"/>
      <c r="R128" s="24"/>
      <c r="S128" s="24"/>
      <c r="T128" s="24"/>
      <c r="U128" s="48"/>
      <c r="V128" s="24"/>
      <c r="W128" s="24"/>
      <c r="X128" s="24"/>
      <c r="Y128" s="24"/>
    </row>
    <row r="129" spans="1:26" x14ac:dyDescent="0.3">
      <c r="A129" s="22" t="s">
        <v>90</v>
      </c>
      <c r="B129" s="24">
        <v>1577</v>
      </c>
      <c r="C129" s="24">
        <v>1036</v>
      </c>
      <c r="D129" s="24">
        <v>512</v>
      </c>
      <c r="E129" s="24">
        <v>1935.86</v>
      </c>
      <c r="F129" s="24">
        <v>1427.1880000000001</v>
      </c>
      <c r="G129" s="24">
        <v>925.8</v>
      </c>
      <c r="H129" s="24">
        <v>450.3</v>
      </c>
      <c r="I129" s="24">
        <v>1402</v>
      </c>
      <c r="J129" s="24">
        <v>973</v>
      </c>
      <c r="K129" s="24">
        <v>589.79999999999995</v>
      </c>
      <c r="L129" s="24">
        <v>278.5</v>
      </c>
      <c r="M129" s="24">
        <v>617</v>
      </c>
      <c r="N129" s="24">
        <v>379</v>
      </c>
      <c r="O129" s="24">
        <v>224</v>
      </c>
      <c r="P129" s="24">
        <v>101</v>
      </c>
      <c r="Q129" s="24">
        <v>289</v>
      </c>
      <c r="R129" s="24">
        <v>204</v>
      </c>
      <c r="S129" s="24">
        <v>136</v>
      </c>
      <c r="T129" s="24">
        <v>69</v>
      </c>
      <c r="U129" s="48">
        <v>375</v>
      </c>
      <c r="V129" s="24">
        <v>309</v>
      </c>
      <c r="W129" s="24">
        <v>243</v>
      </c>
      <c r="X129" s="24">
        <v>135</v>
      </c>
      <c r="Y129" s="24">
        <v>437</v>
      </c>
    </row>
    <row r="130" spans="1:26" x14ac:dyDescent="0.3">
      <c r="A130" s="32" t="s">
        <v>91</v>
      </c>
      <c r="B130" s="54">
        <v>-813</v>
      </c>
      <c r="C130" s="54">
        <v>-534</v>
      </c>
      <c r="D130" s="54">
        <v>-265</v>
      </c>
      <c r="E130" s="54">
        <v>-995.48500000000001</v>
      </c>
      <c r="F130" s="54">
        <v>-735.38599999999997</v>
      </c>
      <c r="G130" s="54">
        <v>-476.38</v>
      </c>
      <c r="H130" s="54">
        <v>-231.6</v>
      </c>
      <c r="I130" s="54">
        <v>-741.5</v>
      </c>
      <c r="J130" s="54">
        <v>-520</v>
      </c>
      <c r="K130" s="54">
        <v>-324</v>
      </c>
      <c r="L130" s="54">
        <v>-155</v>
      </c>
      <c r="M130" s="54">
        <v>-365</v>
      </c>
      <c r="N130" s="54">
        <v>-227</v>
      </c>
      <c r="O130" s="54">
        <v>-137</v>
      </c>
      <c r="P130" s="54">
        <v>-62.5</v>
      </c>
      <c r="Q130" s="54">
        <v>-177</v>
      </c>
      <c r="R130" s="54">
        <v>-126</v>
      </c>
      <c r="S130" s="54">
        <v>-87</v>
      </c>
      <c r="T130" s="54">
        <v>-44</v>
      </c>
      <c r="U130" s="49">
        <v>-234</v>
      </c>
      <c r="V130" s="54">
        <v>-192</v>
      </c>
      <c r="W130" s="54">
        <v>-151</v>
      </c>
      <c r="X130" s="54">
        <v>-85</v>
      </c>
      <c r="Y130" s="54">
        <v>-268</v>
      </c>
    </row>
    <row r="131" spans="1:26" x14ac:dyDescent="0.3">
      <c r="A131" s="22" t="s">
        <v>92</v>
      </c>
      <c r="B131" s="24">
        <f>+B129+B130</f>
        <v>764</v>
      </c>
      <c r="C131" s="24">
        <f t="shared" ref="C131:H131" si="210">+C129+C130</f>
        <v>502</v>
      </c>
      <c r="D131" s="24">
        <f t="shared" si="210"/>
        <v>247</v>
      </c>
      <c r="E131" s="24">
        <f t="shared" si="210"/>
        <v>940.37499999999989</v>
      </c>
      <c r="F131" s="24">
        <f t="shared" si="210"/>
        <v>691.80200000000013</v>
      </c>
      <c r="G131" s="24">
        <f t="shared" si="210"/>
        <v>449.41999999999996</v>
      </c>
      <c r="H131" s="24">
        <f t="shared" si="210"/>
        <v>218.70000000000002</v>
      </c>
      <c r="I131" s="24">
        <f t="shared" ref="I131" si="211">+I129+I130</f>
        <v>660.5</v>
      </c>
      <c r="J131" s="24">
        <f t="shared" ref="J131:K131" si="212">+J129+J130</f>
        <v>453</v>
      </c>
      <c r="K131" s="24">
        <f t="shared" si="212"/>
        <v>265.79999999999995</v>
      </c>
      <c r="L131" s="24">
        <f t="shared" ref="L131:Q131" si="213">+L129+L130</f>
        <v>123.5</v>
      </c>
      <c r="M131" s="24">
        <f t="shared" si="213"/>
        <v>252</v>
      </c>
      <c r="N131" s="24">
        <f t="shared" si="213"/>
        <v>152</v>
      </c>
      <c r="O131" s="24">
        <f t="shared" si="213"/>
        <v>87</v>
      </c>
      <c r="P131" s="24">
        <f t="shared" si="213"/>
        <v>38.5</v>
      </c>
      <c r="Q131" s="24">
        <f t="shared" si="213"/>
        <v>112</v>
      </c>
      <c r="R131" s="24">
        <v>78</v>
      </c>
      <c r="S131" s="24">
        <v>49</v>
      </c>
      <c r="T131" s="24">
        <f t="shared" ref="T131:Y131" si="214">SUM(T129:T130)</f>
        <v>25</v>
      </c>
      <c r="U131" s="24">
        <f t="shared" si="214"/>
        <v>141</v>
      </c>
      <c r="V131" s="24">
        <f t="shared" si="214"/>
        <v>117</v>
      </c>
      <c r="W131" s="24">
        <f t="shared" si="214"/>
        <v>92</v>
      </c>
      <c r="X131" s="24">
        <f t="shared" si="214"/>
        <v>50</v>
      </c>
      <c r="Y131" s="24">
        <f t="shared" si="214"/>
        <v>169</v>
      </c>
    </row>
    <row r="132" spans="1:26" x14ac:dyDescent="0.3">
      <c r="A132" s="22"/>
      <c r="B132" s="24"/>
      <c r="C132" s="24"/>
      <c r="D132" s="24"/>
      <c r="E132" s="24"/>
      <c r="F132" s="24"/>
      <c r="G132" s="24"/>
      <c r="H132" s="24"/>
      <c r="I132" s="24"/>
      <c r="J132" s="25"/>
      <c r="K132" s="24"/>
      <c r="L132" s="24"/>
      <c r="M132" s="24"/>
      <c r="N132" s="24"/>
      <c r="O132" s="24"/>
      <c r="P132" s="24"/>
      <c r="Q132" s="24"/>
      <c r="R132" s="24"/>
      <c r="S132" s="24"/>
      <c r="T132" s="24"/>
      <c r="U132" s="24"/>
      <c r="V132" s="24"/>
      <c r="W132" s="24"/>
      <c r="X132" s="24"/>
      <c r="Y132" s="24"/>
    </row>
    <row r="133" spans="1:26" x14ac:dyDescent="0.3">
      <c r="A133" s="32" t="s">
        <v>83</v>
      </c>
      <c r="B133" s="54">
        <f>+B127*B103%*B104/365</f>
        <v>916.65426904109597</v>
      </c>
      <c r="C133" s="54">
        <f>+C127*C103%*C104/365</f>
        <v>612.30405698630136</v>
      </c>
      <c r="D133" s="54">
        <f>+D127*D103%*D104/365</f>
        <v>300.6964109589041</v>
      </c>
      <c r="E133" s="54">
        <f>+E127*E103%*E104/366</f>
        <v>1197.2752</v>
      </c>
      <c r="F133" s="54">
        <f>+F127*F103%*F104/366</f>
        <v>887.16887868852473</v>
      </c>
      <c r="G133" s="54">
        <f>+G127*G103%*G104/366</f>
        <v>580.32142076502726</v>
      </c>
      <c r="H133" s="54">
        <f>+H127*H103%*H104/366</f>
        <v>285.71657868852458</v>
      </c>
      <c r="I133" s="54">
        <f t="shared" ref="I133" si="215">+I127*I103%*I104/365</f>
        <v>1013.3262500000001</v>
      </c>
      <c r="J133" s="54">
        <f t="shared" ref="J133:K133" si="216">+J127*J103%*J104/365</f>
        <v>720.71012712328752</v>
      </c>
      <c r="K133" s="54">
        <f t="shared" si="216"/>
        <v>430.64194410958908</v>
      </c>
      <c r="L133" s="54">
        <f t="shared" ref="L133:Q133" si="217">+L127*L103%*L104/365</f>
        <v>196.53751232876715</v>
      </c>
      <c r="M133" s="54">
        <f t="shared" si="217"/>
        <v>491.84400000000005</v>
      </c>
      <c r="N133" s="54">
        <f t="shared" si="217"/>
        <v>291.38269808219184</v>
      </c>
      <c r="O133" s="54">
        <f t="shared" si="217"/>
        <v>146.31866438356164</v>
      </c>
      <c r="P133" s="49">
        <f t="shared" si="217"/>
        <v>66.139939726027393</v>
      </c>
      <c r="Q133" s="49">
        <f t="shared" si="217"/>
        <v>92.270399999999995</v>
      </c>
      <c r="R133" s="49">
        <v>52.20971671232877</v>
      </c>
      <c r="S133" s="49">
        <v>32.495202739726025</v>
      </c>
      <c r="T133" s="49">
        <f>+T127*T103%*T104/365</f>
        <v>20.317758904109589</v>
      </c>
      <c r="U133" s="49">
        <f>+U127*U103%*U104/366</f>
        <v>115.0076232</v>
      </c>
      <c r="V133" s="49">
        <f>+V127*V103%*V104/366</f>
        <v>97.704441564207642</v>
      </c>
      <c r="W133" s="49">
        <f>+W127*W103%*W104/366</f>
        <v>84.174463547540995</v>
      </c>
      <c r="X133" s="49">
        <f>+X127*X103%*X104/366</f>
        <v>64.543612864480878</v>
      </c>
      <c r="Y133" s="49">
        <f>+Y127*Y103%*Y104/365</f>
        <v>236.07958920000002</v>
      </c>
    </row>
    <row r="134" spans="1:26" x14ac:dyDescent="0.3">
      <c r="A134" s="22" t="s">
        <v>93</v>
      </c>
      <c r="B134" s="60">
        <f t="shared" ref="B134:G134" si="218">+B133-B131</f>
        <v>152.65426904109597</v>
      </c>
      <c r="C134" s="60">
        <f t="shared" si="218"/>
        <v>110.30405698630136</v>
      </c>
      <c r="D134" s="60">
        <f t="shared" si="218"/>
        <v>53.696410958904096</v>
      </c>
      <c r="E134" s="60">
        <f t="shared" si="218"/>
        <v>256.90020000000015</v>
      </c>
      <c r="F134" s="60">
        <f t="shared" si="218"/>
        <v>195.36687868852459</v>
      </c>
      <c r="G134" s="60">
        <f t="shared" si="218"/>
        <v>130.9014207650273</v>
      </c>
      <c r="H134" s="60">
        <f t="shared" ref="H134:I134" si="219">+H133-H131</f>
        <v>67.016578688524561</v>
      </c>
      <c r="I134" s="60">
        <f t="shared" si="219"/>
        <v>352.82625000000007</v>
      </c>
      <c r="J134" s="60">
        <f t="shared" ref="J134:K134" si="220">+J133-J131</f>
        <v>267.71012712328752</v>
      </c>
      <c r="K134" s="60">
        <f t="shared" si="220"/>
        <v>164.84194410958912</v>
      </c>
      <c r="L134" s="60">
        <f t="shared" ref="L134:Q134" si="221">+L133-L131</f>
        <v>73.03751232876715</v>
      </c>
      <c r="M134" s="60">
        <f t="shared" si="221"/>
        <v>239.84400000000005</v>
      </c>
      <c r="N134" s="60">
        <f t="shared" si="221"/>
        <v>139.38269808219184</v>
      </c>
      <c r="O134" s="60">
        <f t="shared" si="221"/>
        <v>59.318664383561639</v>
      </c>
      <c r="P134" s="63">
        <f t="shared" si="221"/>
        <v>27.639939726027393</v>
      </c>
      <c r="Q134" s="48">
        <f t="shared" si="221"/>
        <v>-19.729600000000005</v>
      </c>
      <c r="R134" s="48">
        <v>-25.79028328767123</v>
      </c>
      <c r="S134" s="48">
        <v>-16.504797260273975</v>
      </c>
      <c r="T134" s="48">
        <f t="shared" ref="T134" si="222">+T133-T131</f>
        <v>-4.6822410958904115</v>
      </c>
      <c r="U134" s="48">
        <f>+U133-U131</f>
        <v>-25.992376800000002</v>
      </c>
      <c r="V134" s="48">
        <f t="shared" ref="V134:Y134" si="223">+V133-V131</f>
        <v>-19.295558435792358</v>
      </c>
      <c r="W134" s="48">
        <f t="shared" si="223"/>
        <v>-7.825536452459005</v>
      </c>
      <c r="X134" s="48">
        <f t="shared" si="223"/>
        <v>14.543612864480878</v>
      </c>
      <c r="Y134" s="48">
        <f t="shared" si="223"/>
        <v>67.079589200000015</v>
      </c>
    </row>
    <row r="135" spans="1:26" s="3" customFormat="1" ht="15" thickBot="1" x14ac:dyDescent="0.35">
      <c r="A135" s="14" t="s">
        <v>94</v>
      </c>
      <c r="B135" s="20">
        <f t="shared" ref="B135" si="224">+B134*(366/B104)/B127</f>
        <v>7.4477736337373738E-3</v>
      </c>
      <c r="C135" s="20">
        <f t="shared" ref="C135:H135" si="225">+C134*(366/C104)/C127</f>
        <v>8.2371583089789514E-3</v>
      </c>
      <c r="D135" s="20">
        <f t="shared" si="225"/>
        <v>8.1473548453925067E-3</v>
      </c>
      <c r="E135" s="20">
        <f t="shared" si="225"/>
        <v>1.012773791689664E-2</v>
      </c>
      <c r="F135" s="20">
        <f t="shared" si="225"/>
        <v>1.039409394942929E-2</v>
      </c>
      <c r="G135" s="20">
        <f t="shared" si="225"/>
        <v>1.0646767186302067E-2</v>
      </c>
      <c r="H135" s="20">
        <f t="shared" si="225"/>
        <v>1.1047594335331029E-2</v>
      </c>
      <c r="I135" s="20">
        <f t="shared" ref="I135" si="226">+I134*(365/I104)/I127</f>
        <v>1.4449728678202113E-2</v>
      </c>
      <c r="J135" s="20">
        <f t="shared" ref="J135:K135" si="227">+J134*(365/J104)/J127</f>
        <v>1.4709549144809894E-2</v>
      </c>
      <c r="K135" s="20">
        <f t="shared" si="227"/>
        <v>1.381842680155145E-2</v>
      </c>
      <c r="L135" s="20">
        <f t="shared" ref="L135:Q135" si="228">+L134*(365/L104)/L127</f>
        <v>1.2374987002376712E-2</v>
      </c>
      <c r="M135" s="20">
        <f t="shared" si="228"/>
        <v>9.9479054334301147E-3</v>
      </c>
      <c r="N135" s="20">
        <f t="shared" si="228"/>
        <v>7.7492580163238869E-3</v>
      </c>
      <c r="O135" s="20">
        <f t="shared" si="228"/>
        <v>5.0675920800560791E-3</v>
      </c>
      <c r="P135" s="20">
        <f t="shared" si="228"/>
        <v>4.8894404218403163E-3</v>
      </c>
      <c r="Q135" s="20">
        <f t="shared" si="228"/>
        <v>-1.0049714751426246E-3</v>
      </c>
      <c r="R135" s="20">
        <v>-1.8277066832245456E-3</v>
      </c>
      <c r="S135" s="20">
        <v>-1.8284935968209096E-3</v>
      </c>
      <c r="T135" s="20">
        <f>+T134*(365/T104)/T127</f>
        <v>-1.0600730692172662E-3</v>
      </c>
      <c r="U135" s="20">
        <f>+U134*(366/U104)/U127</f>
        <v>-1.5670330258636283E-3</v>
      </c>
      <c r="V135" s="20">
        <f>+V134*(366/V104)/V127</f>
        <v>-1.5759824569723012E-3</v>
      </c>
      <c r="W135" s="20">
        <f>+W134*(366/W104)/W127</f>
        <v>-9.8609360304461355E-4</v>
      </c>
      <c r="X135" s="20">
        <f>+X134*(366/X104)/X127</f>
        <v>3.7314424152270292E-3</v>
      </c>
      <c r="Y135" s="20">
        <f>+Y134*(365/Y104)/Y127</f>
        <v>4.416326894463099E-3</v>
      </c>
      <c r="Z135"/>
    </row>
    <row r="136" spans="1:26" x14ac:dyDescent="0.3">
      <c r="A136" s="22"/>
      <c r="B136" s="65"/>
      <c r="C136" s="33"/>
      <c r="D136" s="33"/>
      <c r="E136" s="65"/>
      <c r="F136" s="65"/>
      <c r="G136" s="65"/>
      <c r="H136" s="33"/>
      <c r="I136" s="33"/>
      <c r="J136" s="33"/>
      <c r="K136" s="33"/>
      <c r="L136" s="33"/>
      <c r="M136" s="65"/>
      <c r="N136" s="65"/>
      <c r="O136" s="65"/>
      <c r="P136" s="38"/>
      <c r="Q136" s="38"/>
      <c r="R136" s="38"/>
      <c r="S136" s="38"/>
      <c r="T136" s="38"/>
      <c r="U136" s="38"/>
      <c r="V136" s="33"/>
      <c r="W136" s="33"/>
      <c r="X136" s="33"/>
      <c r="Y136" s="33"/>
    </row>
    <row r="137" spans="1:26" x14ac:dyDescent="0.3">
      <c r="A137" s="22"/>
      <c r="B137" s="33"/>
      <c r="C137" s="33"/>
      <c r="D137" s="33"/>
      <c r="E137" s="65"/>
      <c r="F137" s="65"/>
      <c r="G137" s="65"/>
      <c r="H137" s="65"/>
      <c r="I137" s="65"/>
      <c r="J137" s="65"/>
      <c r="K137" s="65"/>
      <c r="L137" s="65"/>
      <c r="M137" s="65"/>
      <c r="N137" s="65"/>
      <c r="O137" s="65"/>
      <c r="P137" s="38"/>
      <c r="Q137" s="38"/>
      <c r="R137" s="38"/>
      <c r="S137" s="38"/>
      <c r="T137" s="38"/>
      <c r="U137" s="38"/>
      <c r="V137" s="33"/>
      <c r="W137" s="33"/>
      <c r="X137" s="33"/>
      <c r="Y137" s="33"/>
    </row>
    <row r="138" spans="1:26" x14ac:dyDescent="0.3">
      <c r="A138" s="22"/>
      <c r="B138" s="33"/>
      <c r="C138" s="33"/>
      <c r="D138" s="33"/>
      <c r="E138" s="65"/>
      <c r="F138" s="65"/>
      <c r="G138" s="65"/>
      <c r="H138" s="65"/>
      <c r="I138" s="65"/>
      <c r="J138" s="65"/>
      <c r="K138" s="65"/>
      <c r="L138" s="65"/>
      <c r="M138" s="65"/>
      <c r="N138" s="65"/>
      <c r="O138" s="65"/>
      <c r="P138" s="38"/>
      <c r="Q138" s="38"/>
      <c r="R138" s="38"/>
      <c r="S138" s="38"/>
      <c r="T138" s="38"/>
      <c r="U138" s="38"/>
      <c r="V138" s="33"/>
      <c r="W138" s="33"/>
      <c r="X138" s="33"/>
      <c r="Y138" s="33"/>
    </row>
    <row r="139" spans="1:26" x14ac:dyDescent="0.3">
      <c r="A139" s="22"/>
      <c r="B139" s="75"/>
      <c r="C139" s="75"/>
      <c r="D139" s="75"/>
      <c r="E139" s="73"/>
      <c r="F139" s="73"/>
      <c r="G139" s="73"/>
      <c r="H139" s="73"/>
      <c r="I139" s="73"/>
      <c r="J139" s="65"/>
      <c r="K139" s="65"/>
      <c r="L139" s="65"/>
      <c r="M139" s="65"/>
      <c r="N139" s="65"/>
      <c r="O139" s="65"/>
      <c r="P139" s="38"/>
      <c r="Q139" s="38"/>
      <c r="R139" s="38"/>
      <c r="S139" s="38"/>
      <c r="T139" s="38"/>
      <c r="U139" s="38"/>
      <c r="V139" s="33"/>
      <c r="W139" s="33"/>
      <c r="X139" s="33"/>
      <c r="Y139" s="33"/>
    </row>
    <row r="140" spans="1:26" x14ac:dyDescent="0.3">
      <c r="A140" s="22"/>
      <c r="B140" s="33"/>
      <c r="C140" s="33"/>
      <c r="D140" s="33"/>
      <c r="E140" s="65"/>
      <c r="F140" s="65"/>
      <c r="G140" s="65"/>
      <c r="H140" s="65"/>
      <c r="I140" s="65"/>
      <c r="J140" s="65"/>
      <c r="K140" s="65"/>
      <c r="L140" s="65"/>
      <c r="M140" s="65"/>
      <c r="N140" s="65"/>
      <c r="O140" s="65"/>
      <c r="P140" s="38"/>
      <c r="Q140" s="38"/>
      <c r="R140" s="38"/>
      <c r="S140" s="38"/>
      <c r="T140" s="38"/>
      <c r="U140" s="38"/>
      <c r="V140" s="33"/>
      <c r="W140" s="33"/>
      <c r="X140" s="33"/>
      <c r="Y140" s="33"/>
    </row>
  </sheetData>
  <pageMargins left="0.7" right="0.7" top="0.75" bottom="0.75" header="0.3" footer="0.3"/>
  <pageSetup paperSize="9" orientation="portrait" r:id="rId1"/>
  <ignoredErrors>
    <ignoredError sqref="U23:X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216D2022DB214AAA019696ABE7AE17" ma:contentTypeVersion="6" ma:contentTypeDescription="Create a new document." ma:contentTypeScope="" ma:versionID="7b3d252ee79533ca23ca3baa9c28fb2b">
  <xsd:schema xmlns:xsd="http://www.w3.org/2001/XMLSchema" xmlns:xs="http://www.w3.org/2001/XMLSchema" xmlns:p="http://schemas.microsoft.com/office/2006/metadata/properties" xmlns:ns2="702e69e7-f054-4607-82df-354939e193fc" xmlns:ns3="a9d4ce23-1662-4471-8027-8aa1ff42a8e3" targetNamespace="http://schemas.microsoft.com/office/2006/metadata/properties" ma:root="true" ma:fieldsID="e8a8f4ae4199523eb1e1cc65e9e2731b" ns2:_="" ns3:_="">
    <xsd:import namespace="702e69e7-f054-4607-82df-354939e193fc"/>
    <xsd:import namespace="a9d4ce23-1662-4471-8027-8aa1ff42a8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e69e7-f054-4607-82df-354939e19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4ce23-1662-4471-8027-8aa1ff42a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2.xml><?xml version="1.0" encoding="utf-8"?>
<ds:datastoreItem xmlns:ds="http://schemas.openxmlformats.org/officeDocument/2006/customXml" ds:itemID="{CEA69B47-8109-419D-9DA7-32C86C4FB97F}">
  <ds:schemaRefs>
    <ds:schemaRef ds:uri="702e69e7-f054-4607-82df-354939e193fc"/>
    <ds:schemaRef ds:uri="a9d4ce23-1662-4471-8027-8aa1ff42a8e3"/>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145CC9A-8347-4A45-A610-C41D87142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e69e7-f054-4607-82df-354939e193fc"/>
    <ds:schemaRef ds:uri="a9d4ce23-1662-4471-8027-8aa1ff42a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2025-10-13T13:02:54Z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0x010100B1216D2022DB214AAA019696ABE7AE17</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