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M:\REGNRAPP\R2022\Q3 2022\Sendt til marked for publisering\"/>
    </mc:Choice>
  </mc:AlternateContent>
  <xr:revisionPtr revIDLastSave="0" documentId="13_ncr:1_{E7BFFE79-09FB-4468-9738-195F16EEF6A3}" xr6:coauthVersionLast="47" xr6:coauthVersionMax="47" xr10:uidLastSave="{00000000-0000-0000-0000-000000000000}"/>
  <bookViews>
    <workbookView xWindow="-120" yWindow="-120" windowWidth="29040" windowHeight="17640"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definisjoner'!$A$1:$B$27</definedName>
    <definedName name="_xlnm.Print_Area" localSheetId="1">'APM utregning'!$A$1:$M$147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3" i="2"/>
  <c r="B20" i="2"/>
  <c r="B144" i="2"/>
  <c r="B142" i="2"/>
  <c r="B133" i="2"/>
  <c r="B134" i="2"/>
  <c r="B135" i="2"/>
  <c r="B121" i="2"/>
  <c r="B122" i="2"/>
  <c r="B123" i="2"/>
  <c r="B108" i="2"/>
  <c r="B107" i="2"/>
  <c r="B100" i="2"/>
  <c r="B102" i="2"/>
  <c r="B96" i="2"/>
  <c r="B95" i="2"/>
  <c r="B80" i="2"/>
  <c r="B73" i="2"/>
  <c r="B75" i="2"/>
  <c r="B66" i="2"/>
  <c r="B62" i="2"/>
  <c r="B56" i="2"/>
  <c r="B55" i="2"/>
  <c r="B57" i="2"/>
  <c r="B59" i="2"/>
  <c r="B49" i="2"/>
  <c r="B50" i="2"/>
  <c r="B52" i="2"/>
  <c r="B45" i="2"/>
  <c r="B36" i="2"/>
  <c r="B32" i="2"/>
  <c r="B25" i="2"/>
  <c r="B10" i="2"/>
  <c r="B6" i="2"/>
  <c r="B14" i="2"/>
  <c r="B145" i="2"/>
  <c r="B146" i="2"/>
  <c r="B109" i="2"/>
  <c r="B97" i="2"/>
  <c r="B37" i="2"/>
  <c r="B39" i="2"/>
  <c r="B40" i="2"/>
  <c r="B33" i="2"/>
  <c r="B69" i="2"/>
  <c r="B72" i="2"/>
  <c r="B82" i="2"/>
  <c r="C141" i="2"/>
  <c r="C121" i="2"/>
  <c r="D100" i="2"/>
  <c r="D102" i="2"/>
  <c r="D88" i="2"/>
  <c r="C88" i="2"/>
  <c r="B74" i="2"/>
  <c r="B76" i="2"/>
  <c r="B110" i="2"/>
  <c r="B111" i="2"/>
  <c r="B79" i="2"/>
  <c r="D20" i="2"/>
  <c r="B81" i="2"/>
  <c r="B83" i="2"/>
  <c r="C20" i="2"/>
  <c r="C23" i="2"/>
  <c r="C144" i="2"/>
  <c r="C142" i="2"/>
  <c r="C133" i="2"/>
  <c r="C122" i="2"/>
  <c r="C123" i="2"/>
  <c r="C108" i="2"/>
  <c r="C107" i="2"/>
  <c r="C100" i="2"/>
  <c r="C102" i="2"/>
  <c r="C96" i="2"/>
  <c r="C95" i="2"/>
  <c r="C80" i="2"/>
  <c r="C73" i="2"/>
  <c r="C75" i="2"/>
  <c r="C66" i="2"/>
  <c r="C62" i="2"/>
  <c r="C56" i="2"/>
  <c r="C55" i="2"/>
  <c r="C82" i="2"/>
  <c r="C49" i="2"/>
  <c r="C50" i="2"/>
  <c r="C52" i="2"/>
  <c r="C45" i="2"/>
  <c r="C36" i="2"/>
  <c r="C30" i="2"/>
  <c r="C32" i="2"/>
  <c r="C10" i="2"/>
  <c r="C6" i="2"/>
  <c r="C14" i="2"/>
  <c r="D144" i="2"/>
  <c r="C109" i="2"/>
  <c r="C97" i="2"/>
  <c r="C57" i="2"/>
  <c r="C59" i="2"/>
  <c r="C69" i="2"/>
  <c r="C72" i="2"/>
  <c r="C110" i="2"/>
  <c r="C145" i="2"/>
  <c r="C146" i="2"/>
  <c r="C134" i="2"/>
  <c r="C135" i="2"/>
  <c r="C25" i="2"/>
  <c r="C37" i="2"/>
  <c r="C39" i="2"/>
  <c r="C40" i="2"/>
  <c r="C33" i="2"/>
  <c r="D131" i="2"/>
  <c r="D119" i="2"/>
  <c r="C111" i="2"/>
  <c r="C79" i="2"/>
  <c r="C74" i="2"/>
  <c r="C76" i="2"/>
  <c r="D133" i="2"/>
  <c r="C81" i="2"/>
  <c r="C83" i="2"/>
  <c r="D121" i="2"/>
  <c r="E117" i="2"/>
  <c r="D142" i="2"/>
  <c r="D145" i="2"/>
  <c r="D146" i="2"/>
  <c r="E142" i="2"/>
  <c r="D134" i="2"/>
  <c r="D135" i="2"/>
  <c r="D122" i="2"/>
  <c r="D123" i="2"/>
  <c r="D108" i="2"/>
  <c r="D107" i="2"/>
  <c r="D96" i="2"/>
  <c r="D95" i="2"/>
  <c r="E129" i="2"/>
  <c r="D80" i="2"/>
  <c r="D73" i="2"/>
  <c r="D75" i="2"/>
  <c r="D66" i="2"/>
  <c r="E66" i="2"/>
  <c r="E69" i="2"/>
  <c r="E72" i="2"/>
  <c r="H63" i="2"/>
  <c r="D62" i="2"/>
  <c r="D56" i="2"/>
  <c r="D55" i="2"/>
  <c r="D82" i="2"/>
  <c r="D49" i="2"/>
  <c r="D50" i="2"/>
  <c r="D52" i="2"/>
  <c r="D45" i="2"/>
  <c r="E45" i="2"/>
  <c r="D36" i="2"/>
  <c r="D30" i="2"/>
  <c r="D32" i="2"/>
  <c r="D33" i="2"/>
  <c r="E30" i="2"/>
  <c r="D23" i="2"/>
  <c r="D25" i="2"/>
  <c r="E23" i="2"/>
  <c r="D10" i="2"/>
  <c r="D6" i="2"/>
  <c r="D14" i="2"/>
  <c r="D69" i="2"/>
  <c r="D72" i="2"/>
  <c r="B89" i="2"/>
  <c r="B90" i="2"/>
  <c r="D109" i="2"/>
  <c r="D89" i="2"/>
  <c r="D90" i="2"/>
  <c r="C89" i="2"/>
  <c r="C90" i="2"/>
  <c r="D37" i="2"/>
  <c r="D39" i="2"/>
  <c r="D40" i="2"/>
  <c r="D57" i="2"/>
  <c r="D59" i="2"/>
  <c r="D97" i="2"/>
  <c r="E110" i="2"/>
  <c r="D74" i="2"/>
  <c r="D76" i="2"/>
  <c r="D79" i="2"/>
  <c r="D110" i="2"/>
  <c r="D111" i="2"/>
  <c r="D81" i="2"/>
  <c r="D83" i="2"/>
  <c r="E119" i="2"/>
  <c r="E131" i="2"/>
  <c r="E133" i="2"/>
  <c r="E138" i="2"/>
  <c r="E144" i="2"/>
  <c r="E20" i="2"/>
  <c r="E25" i="2"/>
  <c r="E121" i="2"/>
  <c r="E88" i="2"/>
  <c r="E49" i="2"/>
  <c r="E50" i="2"/>
  <c r="E52" i="2"/>
  <c r="E122" i="2"/>
  <c r="E123" i="2"/>
  <c r="G80" i="2"/>
  <c r="G81" i="2"/>
  <c r="G83" i="2"/>
  <c r="H80" i="2"/>
  <c r="H81" i="2"/>
  <c r="H83" i="2"/>
  <c r="I80" i="2"/>
  <c r="J80" i="2"/>
  <c r="K80" i="2"/>
  <c r="L80" i="2"/>
  <c r="M80" i="2"/>
  <c r="E80" i="2"/>
  <c r="E62" i="2"/>
  <c r="E55" i="2"/>
  <c r="E32" i="2"/>
  <c r="E33" i="2"/>
  <c r="E6" i="2"/>
  <c r="E14" i="2"/>
  <c r="C63" i="2"/>
  <c r="B63" i="2"/>
  <c r="E63" i="2"/>
  <c r="D63" i="2"/>
  <c r="E82" i="2"/>
  <c r="L63" i="2"/>
  <c r="K63" i="2"/>
  <c r="I63" i="2"/>
  <c r="L23" i="2"/>
  <c r="K23" i="2"/>
  <c r="J23" i="2"/>
  <c r="I23" i="2"/>
  <c r="M141" i="2"/>
  <c r="M142" i="2"/>
  <c r="J141" i="2"/>
  <c r="J142" i="2"/>
  <c r="K141" i="2"/>
  <c r="K142" i="2"/>
  <c r="L141" i="2"/>
  <c r="L142" i="2"/>
  <c r="I141" i="2"/>
  <c r="I142" i="2"/>
  <c r="H141" i="2"/>
  <c r="H142" i="2"/>
  <c r="H104" i="2"/>
  <c r="H108" i="2"/>
  <c r="H107" i="2"/>
  <c r="H95" i="2"/>
  <c r="H97" i="2"/>
  <c r="M32" i="2"/>
  <c r="L32" i="2"/>
  <c r="K32" i="2"/>
  <c r="J32" i="2"/>
  <c r="I32" i="2"/>
  <c r="H32" i="2"/>
  <c r="H109" i="2"/>
  <c r="H111" i="2"/>
  <c r="E145" i="2"/>
  <c r="E146" i="2"/>
  <c r="J89" i="2"/>
  <c r="I89" i="2"/>
  <c r="L20" i="2"/>
  <c r="L131" i="2"/>
  <c r="L119" i="2"/>
  <c r="H131" i="2"/>
  <c r="K131" i="2"/>
  <c r="H126" i="2"/>
  <c r="E126" i="2"/>
  <c r="H129" i="2"/>
  <c r="H133" i="2"/>
  <c r="H117" i="2"/>
  <c r="H144" i="2"/>
  <c r="E124" i="2"/>
  <c r="H124" i="2"/>
  <c r="H145" i="2"/>
  <c r="H146" i="2"/>
  <c r="H134" i="2"/>
  <c r="H135" i="2"/>
  <c r="H121" i="2"/>
  <c r="H122" i="2"/>
  <c r="H123" i="2"/>
  <c r="E125" i="2"/>
  <c r="H125" i="2"/>
  <c r="E108" i="2"/>
  <c r="E107" i="2"/>
  <c r="E89" i="2"/>
  <c r="E109" i="2"/>
  <c r="E37" i="2"/>
  <c r="E39" i="2"/>
  <c r="E36" i="2"/>
  <c r="E40" i="2"/>
  <c r="E134" i="2"/>
  <c r="E135" i="2"/>
  <c r="E100" i="2"/>
  <c r="E102" i="2"/>
  <c r="E96" i="2"/>
  <c r="E95" i="2"/>
  <c r="E79" i="2"/>
  <c r="E10" i="2"/>
  <c r="L55" i="2"/>
  <c r="C12" i="2"/>
  <c r="C15" i="2"/>
  <c r="C16" i="2"/>
  <c r="B12" i="2"/>
  <c r="B15" i="2"/>
  <c r="B16" i="2"/>
  <c r="C103" i="2"/>
  <c r="C104" i="2"/>
  <c r="B103" i="2"/>
  <c r="B104" i="2"/>
  <c r="D12" i="2"/>
  <c r="D15" i="2"/>
  <c r="D16" i="2"/>
  <c r="E81" i="2"/>
  <c r="E83" i="2"/>
  <c r="D103" i="2"/>
  <c r="D104" i="2"/>
  <c r="E97" i="2"/>
  <c r="E90" i="2"/>
  <c r="E111" i="2"/>
  <c r="L144" i="2"/>
  <c r="M121" i="2"/>
  <c r="M122" i="2"/>
  <c r="M123" i="2"/>
  <c r="J121" i="2"/>
  <c r="J122" i="2"/>
  <c r="J123" i="2"/>
  <c r="K121" i="2"/>
  <c r="K122" i="2"/>
  <c r="K123" i="2"/>
  <c r="I121" i="2"/>
  <c r="I122" i="2"/>
  <c r="I123" i="2"/>
  <c r="M133" i="2"/>
  <c r="M134" i="2"/>
  <c r="M135" i="2"/>
  <c r="J133" i="2"/>
  <c r="J134" i="2"/>
  <c r="J135" i="2"/>
  <c r="K133" i="2"/>
  <c r="K134" i="2"/>
  <c r="K135" i="2"/>
  <c r="L133" i="2"/>
  <c r="L134" i="2"/>
  <c r="L135" i="2"/>
  <c r="I133" i="2"/>
  <c r="I134" i="2"/>
  <c r="I135" i="2"/>
  <c r="M144" i="2"/>
  <c r="M145" i="2"/>
  <c r="M146" i="2"/>
  <c r="J144" i="2"/>
  <c r="K144" i="2"/>
  <c r="K145" i="2"/>
  <c r="K146" i="2"/>
  <c r="L145" i="2"/>
  <c r="L146" i="2"/>
  <c r="I144" i="2"/>
  <c r="I145" i="2"/>
  <c r="I146" i="2"/>
  <c r="L121" i="2"/>
  <c r="L122" i="2"/>
  <c r="L123" i="2"/>
  <c r="J145" i="2"/>
  <c r="J146" i="2"/>
  <c r="M109" i="2"/>
  <c r="L109" i="2"/>
  <c r="K109" i="2"/>
  <c r="J109" i="2"/>
  <c r="I109" i="2"/>
  <c r="M100" i="2"/>
  <c r="M102" i="2"/>
  <c r="M104" i="2"/>
  <c r="L100" i="2"/>
  <c r="I100" i="2"/>
  <c r="M95" i="2"/>
  <c r="L95" i="2"/>
  <c r="K95" i="2"/>
  <c r="J95" i="2"/>
  <c r="I95" i="2"/>
  <c r="L96" i="2"/>
  <c r="K96" i="2"/>
  <c r="J96" i="2"/>
  <c r="I96" i="2"/>
  <c r="M88" i="2"/>
  <c r="M90" i="2"/>
  <c r="K86" i="2"/>
  <c r="J86" i="2"/>
  <c r="J88" i="2"/>
  <c r="L89" i="2"/>
  <c r="K89" i="2"/>
  <c r="L88" i="2"/>
  <c r="I88" i="2"/>
  <c r="I97" i="2"/>
  <c r="J100" i="2"/>
  <c r="L97" i="2"/>
  <c r="K100" i="2"/>
  <c r="J97" i="2"/>
  <c r="K97" i="2"/>
  <c r="K88" i="2"/>
  <c r="K90" i="2"/>
  <c r="I90" i="2"/>
  <c r="L90" i="2"/>
  <c r="J90" i="2"/>
  <c r="M75" i="2"/>
  <c r="L75" i="2"/>
  <c r="K75" i="2"/>
  <c r="J75" i="2"/>
  <c r="M69" i="2"/>
  <c r="M72" i="2"/>
  <c r="M110" i="2"/>
  <c r="M111" i="2"/>
  <c r="L69" i="2"/>
  <c r="K69" i="2"/>
  <c r="J69" i="2"/>
  <c r="I69" i="2"/>
  <c r="J63" i="2"/>
  <c r="K72" i="2"/>
  <c r="I72" i="2"/>
  <c r="E73" i="2"/>
  <c r="J72" i="2"/>
  <c r="L72" i="2"/>
  <c r="L103" i="2"/>
  <c r="I73" i="2"/>
  <c r="I75" i="2"/>
  <c r="M74" i="2"/>
  <c r="M76" i="2"/>
  <c r="M79" i="2"/>
  <c r="M81" i="2"/>
  <c r="E75" i="2"/>
  <c r="E74" i="2"/>
  <c r="J110" i="2"/>
  <c r="J111" i="2"/>
  <c r="I79" i="2"/>
  <c r="I103" i="2"/>
  <c r="J79" i="2"/>
  <c r="J81" i="2"/>
  <c r="J74" i="2"/>
  <c r="J76" i="2"/>
  <c r="K110" i="2"/>
  <c r="K111" i="2"/>
  <c r="L110" i="2"/>
  <c r="L111" i="2"/>
  <c r="I110" i="2"/>
  <c r="I111" i="2"/>
  <c r="L79" i="2"/>
  <c r="L81" i="2"/>
  <c r="L74" i="2"/>
  <c r="L76" i="2"/>
  <c r="K79" i="2"/>
  <c r="K81" i="2"/>
  <c r="K74" i="2"/>
  <c r="K76" i="2"/>
  <c r="K55" i="2"/>
  <c r="L82" i="2"/>
  <c r="L83" i="2"/>
  <c r="M55" i="2"/>
  <c r="M82" i="2"/>
  <c r="M83" i="2"/>
  <c r="J55" i="2"/>
  <c r="I55" i="2"/>
  <c r="I50" i="2"/>
  <c r="I52" i="2"/>
  <c r="L50" i="2"/>
  <c r="L52" i="2"/>
  <c r="K50" i="2"/>
  <c r="K52" i="2"/>
  <c r="L45" i="2"/>
  <c r="K45" i="2"/>
  <c r="E76" i="2"/>
  <c r="I82" i="2"/>
  <c r="E56" i="2"/>
  <c r="E57" i="2"/>
  <c r="E59" i="2"/>
  <c r="E103" i="2"/>
  <c r="E104" i="2"/>
  <c r="I81" i="2"/>
  <c r="J82" i="2"/>
  <c r="J83" i="2"/>
  <c r="K82" i="2"/>
  <c r="K83" i="2"/>
  <c r="M50" i="2"/>
  <c r="M52" i="2"/>
  <c r="M96" i="2"/>
  <c r="M97" i="2"/>
  <c r="M57" i="2"/>
  <c r="M59" i="2"/>
  <c r="J50" i="2"/>
  <c r="J52" i="2"/>
  <c r="I83" i="2"/>
  <c r="M45" i="2"/>
  <c r="J45" i="2"/>
  <c r="M39" i="2"/>
  <c r="M40" i="2"/>
  <c r="L39" i="2"/>
  <c r="L40" i="2"/>
  <c r="K39" i="2"/>
  <c r="J39" i="2"/>
  <c r="I39" i="2"/>
  <c r="I40" i="2"/>
  <c r="K36" i="2"/>
  <c r="J36" i="2"/>
  <c r="M33" i="2"/>
  <c r="J28" i="2"/>
  <c r="K28" i="2"/>
  <c r="M20" i="2"/>
  <c r="M25" i="2"/>
  <c r="J19" i="2"/>
  <c r="K19" i="2"/>
  <c r="I20" i="2"/>
  <c r="M15" i="2"/>
  <c r="M6" i="2"/>
  <c r="M14" i="2"/>
  <c r="L6" i="2"/>
  <c r="L14" i="2"/>
  <c r="K6" i="2"/>
  <c r="K14" i="2"/>
  <c r="J6" i="2"/>
  <c r="J14" i="2"/>
  <c r="M10" i="2"/>
  <c r="K20" i="2"/>
  <c r="K25" i="2"/>
  <c r="J20" i="2"/>
  <c r="J25" i="2"/>
  <c r="I25" i="2"/>
  <c r="J40" i="2"/>
  <c r="K40" i="2"/>
  <c r="L25" i="2"/>
  <c r="M16" i="2"/>
  <c r="J10" i="2"/>
  <c r="K10" i="2"/>
  <c r="L10" i="2"/>
  <c r="J33" i="2"/>
  <c r="K33" i="2"/>
  <c r="L33" i="2"/>
  <c r="L57" i="2"/>
  <c r="L59" i="2"/>
  <c r="K103" i="2"/>
  <c r="J102" i="2"/>
  <c r="K102" i="2"/>
  <c r="L102" i="2"/>
  <c r="L12" i="2"/>
  <c r="L15" i="2"/>
  <c r="L16" i="2"/>
  <c r="L104" i="2"/>
  <c r="K104" i="2"/>
  <c r="K12" i="2"/>
  <c r="K15" i="2"/>
  <c r="K16" i="2"/>
  <c r="J12" i="2"/>
  <c r="J15" i="2"/>
  <c r="J16" i="2"/>
  <c r="J103" i="2"/>
  <c r="J104" i="2"/>
  <c r="I56" i="2"/>
  <c r="I74" i="2"/>
  <c r="I76" i="2"/>
  <c r="K57" i="2"/>
  <c r="K59" i="2"/>
  <c r="J57" i="2"/>
  <c r="J59" i="2"/>
  <c r="I102" i="2"/>
  <c r="I45" i="2"/>
  <c r="I57" i="2"/>
  <c r="I59" i="2"/>
  <c r="I104" i="2"/>
  <c r="I10" i="2"/>
  <c r="E12" i="2"/>
  <c r="E15" i="2"/>
  <c r="E16" i="2"/>
  <c r="I12" i="2"/>
  <c r="I33" i="2"/>
  <c r="I15" i="2"/>
  <c r="I6" i="2"/>
  <c r="I14" i="2"/>
  <c r="I16" i="2"/>
</calcChain>
</file>

<file path=xl/sharedStrings.xml><?xml version="1.0" encoding="utf-8"?>
<sst xmlns="http://schemas.openxmlformats.org/spreadsheetml/2006/main" count="135" uniqueCount="117">
  <si>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</si>
  <si>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</si>
  <si>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</si>
  <si>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</si>
  <si>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</si>
  <si>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</si>
  <si>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Egenkapitalrentabilitet gir relevant informasjon om lønnsomheten i BN Bank ved å måle evne til å genere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</si>
  <si>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</si>
  <si>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</si>
  <si>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</si>
  <si>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</si>
  <si>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Kostnadsprosent justert for egenkapitalpåslag og avkastning i Sparebank 1 Næringskreditt</t>
  </si>
  <si>
    <t>Som en del av strategien for finansiering av utlån  overfører BN Bank en vesentlig andel av sine utlån til næringseiendom til kredittforetaket Sparebank 1 Næringskreditt, se note 8 i årsrapporten for nærmere beskrivelse. BN Bank forvalter disse utlånene og et viktig internt måltall er derfor kostnadsprosent justert for egenkapitalpåslag og avkastning fra SB1 Næringskreditt. Dette beregnes som ovenfor, men her er inntektene oppjustert med egenkapitalpåslag og avkastning  fra SB1 Næringskreditt.</t>
  </si>
  <si>
    <t xml:space="preserve">Innskuddsdekning  </t>
  </si>
  <si>
    <t>Innskuddsdekning beregnes som andel innskudd fra kunder i prosent av netto utlån til kunder. Måltallet gir relevant informasjon om likviditeten til BN Bank.</t>
  </si>
  <si>
    <t>Utlånsvekst (brutto) siste 12 måneder</t>
  </si>
  <si>
    <t>Dette er et av de viktigste måltallene for BN Bank og gir informasjon om aktivitet og vekst i bankens utlånsvirksomhet. Nøkkeltallet beregnes som brutto utlån ved utløpet av perioden minus brutto utlån ved starte på perioden delt å brutto utlån ved starten på perioden.</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</si>
  <si>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</si>
  <si>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</si>
  <si>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</si>
  <si>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</si>
  <si>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</si>
  <si>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</si>
  <si>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</si>
  <si>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 beregnes som brutto utlån i BN Bank pluss brutto utlån i SB1 Boligkreditt pluss brutto ulån i SB 1 Næringskreditt.</t>
  </si>
  <si>
    <t>Utlånsvekst (brutto) siste 12 mnd inklusive SB1 Boligkreditt og SB1 Næringskreditt</t>
  </si>
  <si>
    <t xml:space="preserve">Dette er et av de viktigste måltallene for BN Bank og gir informasjon om aktivitet og vekst i bankens totale utlånsvirksomhet inlise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</si>
  <si>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</si>
  <si>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</si>
  <si>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</si>
  <si>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</si>
  <si>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Misligholdte og andre tapsutsatte engasjement i % av brutto utlån</t>
  </si>
  <si>
    <t>Forholdstallet presenteres fordi det gir relevant informasjon om bankens kreditteksponering. Beregnes som sum misligholdte  og andre tapsutsatte engasjement dividert med sum utlån ved utløpet av perioden.</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</si>
  <si>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</si>
  <si>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</si>
  <si>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Misligholdte og andre tapsutsatte engasjement i % av brutto utlån inklusive utlån overført til  SB1 Boligkreditt og SB1 Næringskreditt</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</si>
  <si>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</si>
  <si>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 Bedriftsmarked og Personmarked målt mot 3 måneders Nibor, inkludet utlån solgt til Sparebank 1 Boligkreditt (SB1 BK) og Sparebank 1 Næringskreditt (SB1 NK).</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</si>
  <si>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</si>
  <si>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</si>
  <si>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</si>
  <si>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</si>
  <si>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</si>
  <si>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</si>
  <si>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</si>
  <si>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</si>
  <si>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</si>
  <si>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</si>
  <si>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</si>
  <si>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</si>
  <si>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</si>
  <si>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</si>
  <si>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</si>
  <si>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</si>
  <si>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</si>
  <si>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</si>
  <si>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</si>
  <si>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</si>
  <si>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</si>
  <si>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EK-påslag og avkastning Egenkapital SB1 Næringskreditt</t>
  </si>
  <si>
    <t>Sum inntekter inkl EK-påslag og avkastning EK</t>
  </si>
  <si>
    <t>Kostnadsprosent inkl egenakpitalpåslag og avkatning på egenkapital SB1 Næringskreditt</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</si>
  <si>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</si>
  <si>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</si>
  <si>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</si>
  <si>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</si>
  <si>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</si>
  <si>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</si>
  <si>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</si>
  <si>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</si>
  <si>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</si>
  <si>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</si>
  <si>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</si>
  <si>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</si>
  <si>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Overført til Sparebank 1 Boligkreditt AS (jfr. note 7)</t>
  </si>
  <si>
    <t>Overført til Sparebank 1 Næringskreditt AS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</si>
  <si>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</si>
  <si>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</si>
  <si>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</si>
  <si>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</si>
  <si>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</si>
  <si>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</si>
  <si>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</si>
  <si>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</si>
  <si>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</si>
  <si>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</si>
  <si>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</si>
  <si>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</si>
  <si>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Brutto mislighold over 90 dager (jfr. note 6)</t>
  </si>
  <si>
    <t>Brutto Øvrig tapsutsatte utlån (jfr. note 6)</t>
  </si>
  <si>
    <t>SUM Misligholdte og øvrig tapsutsatte utlån</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</si>
  <si>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</si>
  <si>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</si>
  <si>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</si>
  <si>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</si>
  <si>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</si>
  <si>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</si>
  <si>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</si>
  <si>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</si>
  <si>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</si>
  <si>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Snitt utlånsvolum Bedriftsmarked, Sparebank 1 Næringskreditt, mill kroner</t>
  </si>
  <si>
    <t>Renter på Utlån til Bedriftsmarked, bankbalansen, mill kroner</t>
  </si>
  <si>
    <t>Renter på Utlån til Bedriftsmarked, Sparebank 1 Næringskreditt, mill kroner</t>
  </si>
  <si>
    <t>3 måneders pengemarkedsrenter (Nibor), mill kroner</t>
  </si>
  <si>
    <t>Rentemargin, mill kroner</t>
  </si>
  <si>
    <t>Utlånsmargin mot 3 måneders nibor - Næringsliv, prosent</t>
  </si>
  <si>
    <t>Snitt utlånsvolum Personmarked, bankbalansen, mill kroner</t>
  </si>
  <si>
    <t>Snitt utlånsvolum Personmarked, Sparebank 1 Boligkreditt, mill kroner</t>
  </si>
  <si>
    <t>Renter på Utlån til Personmarked, bankbalansen, mill kroner</t>
  </si>
  <si>
    <t>Renter på Utlån til Personmarked, Sparebank 1 Boligkreditt,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</si>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</sst>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2">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6" xfId="0" applyFont="1" applyFill="1" applyBorder="1" applyAlignment="1">
      <alignment wrapText="1"/>
    </xf>
    <xf numFmtId="0" fontId="1" fillId="5" borderId="5" xfId="0" applyFont="1" applyFill="1" applyBorder="1" applyAlignment="1">
      <alignment wrapText="1"/>
    </xf>
    <xf numFmtId="165" fontId="6" fillId="4" borderId="5" xfId="2" applyNumberFormat="1" applyFont="1" applyFill="1" applyBorder="1"/>
    <xf numFmtId="0" fontId="8" fillId="0" borderId="0" xfId="0" applyFont="1"/>
    <xf numFmtId="43" fontId="8" fillId="0" borderId="0" xfId="0" applyNumberFormat="1" applyFont="1"/>
    <xf numFmtId="165" fontId="6" fillId="5" borderId="5" xfId="2" applyNumberFormat="1" applyFont="1" applyFill="1" applyBorder="1"/>
    <xf numFmtId="10" fontId="6" fillId="5" borderId="6" xfId="2" applyNumberFormat="1" applyFont="1" applyFill="1" applyBorder="1"/>
    <xf numFmtId="10" fontId="6" fillId="5" borderId="5"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6" xfId="2" applyNumberFormat="1" applyFont="1" applyFill="1" applyBorder="1"/>
    <xf numFmtId="0" fontId="0" fillId="0" borderId="2" xfId="0" applyBorder="1"/>
    <xf numFmtId="0" fontId="0" fillId="0" borderId="3" xfId="0" applyBorder="1"/>
    <xf numFmtId="0" fontId="1" fillId="4" borderId="4" xfId="0" applyFont="1" applyFill="1" applyBorder="1"/>
    <xf numFmtId="0" fontId="0" fillId="0" borderId="1" xfId="0" applyBorder="1"/>
    <xf numFmtId="0" fontId="1" fillId="5" borderId="6" xfId="0" applyFont="1" applyFill="1" applyBorder="1"/>
    <xf numFmtId="0" fontId="1" fillId="5" borderId="5" xfId="0" applyFont="1" applyFill="1" applyBorder="1"/>
    <xf numFmtId="9" fontId="6" fillId="5" borderId="6" xfId="2" applyFont="1" applyFill="1" applyBorder="1" applyAlignment="1"/>
    <xf numFmtId="0" fontId="2" fillId="0" borderId="1" xfId="0" applyFont="1" applyBorder="1"/>
    <xf numFmtId="10" fontId="2" fillId="0" borderId="0" xfId="2" applyNumberFormat="1" applyFont="1"/>
    <xf numFmtId="0" fontId="1" fillId="0" borderId="7" xfId="0" applyFont="1" applyBorder="1"/>
    <xf numFmtId="165" fontId="6" fillId="0" borderId="7" xfId="2" applyNumberFormat="1" applyFont="1" applyFill="1" applyBorder="1"/>
    <xf numFmtId="165" fontId="9" fillId="0" borderId="7" xfId="2" applyNumberFormat="1" applyFont="1" applyFill="1" applyBorder="1"/>
    <xf numFmtId="0" fontId="10" fillId="0" borderId="0" xfId="0" applyFont="1"/>
    <xf numFmtId="10" fontId="10" fillId="0" borderId="0" xfId="2" applyNumberFormat="1" applyFont="1"/>
    <xf numFmtId="0" fontId="2" fillId="2" borderId="8" xfId="0" applyFont="1" applyFill="1" applyBorder="1"/>
    <xf numFmtId="164" fontId="6" fillId="5" borderId="6"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5" fillId="0" borderId="0" xfId="1" applyNumberFormat="1" applyFont="1" applyFill="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7"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7" xfId="2" applyNumberFormat="1" applyFont="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3" totalsRowShown="0" dataDxfId="2">
  <autoFilter ref="A5:B23"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tabSelected="1" zoomScaleNormal="100" workbookViewId="0"/>
  </sheetViews>
  <sheetFormatPr baseColWidth="10" defaultColWidth="11.42578125" defaultRowHeight="15"/>
  <cols>
    <col min="1" max="1" width="54.85546875" customWidth="1"/>
    <col min="2" max="2" width="112.140625" customWidth="1"/>
  </cols>
  <sheetData>
    <row r="1" spans="1:3" ht="18.75">
      <c r="A1" s="7" t="s">
        <v>0</v>
      </c>
    </row>
    <row r="2" spans="1:3" s="2" customFormat="1" ht="54.75" customHeight="1">
      <c r="A2" s="71" t="s">
        <v>1</v>
      </c>
      <c r="B2" s="71"/>
    </row>
    <row r="3" spans="1:3" ht="33" customHeight="1">
      <c r="A3" s="71" t="s">
        <v>2</v>
      </c>
      <c r="B3" s="71"/>
    </row>
    <row r="4" spans="1:3" ht="33" customHeight="1">
      <c r="A4" s="1"/>
      <c r="B4" s="1"/>
    </row>
    <row r="5" spans="1:3">
      <c r="A5" s="3" t="s">
        <v>3</v>
      </c>
      <c r="B5" s="3" t="s">
        <v>4</v>
      </c>
    </row>
    <row r="6" spans="1:3" ht="60" customHeight="1">
      <c r="A6" s="4" t="s">
        <v>5</v>
      </c>
      <c r="B6" s="1" t="s">
        <v>6</v>
      </c>
    </row>
    <row r="7" spans="1:3" ht="44.25" customHeight="1">
      <c r="A7" s="5" t="s">
        <v>7</v>
      </c>
      <c r="B7" s="1" t="s">
        <v>8</v>
      </c>
    </row>
    <row r="8" spans="1:3" ht="42.75" customHeight="1">
      <c r="A8" s="4" t="s">
        <v>9</v>
      </c>
      <c r="B8" s="1" t="s">
        <v>10</v>
      </c>
    </row>
    <row r="9" spans="1:3" ht="75">
      <c r="A9" s="6" t="s">
        <v>11</v>
      </c>
      <c r="B9" s="1" t="s">
        <v>12</v>
      </c>
    </row>
    <row r="10" spans="1:3" ht="33" customHeight="1">
      <c r="A10" s="4" t="s">
        <v>13</v>
      </c>
      <c r="B10" s="1" t="s">
        <v>14</v>
      </c>
      <c r="C10" s="1"/>
    </row>
    <row r="11" spans="1:3" ht="47.25" customHeight="1" thickBot="1">
      <c r="A11" s="41" t="s">
        <v>15</v>
      </c>
      <c r="B11" s="1" t="s">
        <v>16</v>
      </c>
      <c r="C11" s="1"/>
    </row>
    <row r="12" spans="1:3" ht="47.25" customHeight="1">
      <c r="A12" s="6" t="s">
        <v>17</v>
      </c>
      <c r="B12" s="1" t="s">
        <v>18</v>
      </c>
      <c r="C12" s="1"/>
    </row>
    <row r="13" spans="1:3">
      <c r="A13" s="6" t="s">
        <v>19</v>
      </c>
      <c r="B13" s="1" t="s">
        <v>20</v>
      </c>
    </row>
    <row r="14" spans="1:3" ht="30.75" thickBot="1">
      <c r="A14" s="41" t="s">
        <v>21</v>
      </c>
      <c r="B14" s="1" t="s">
        <v>22</v>
      </c>
    </row>
    <row r="15" spans="1:3" ht="60">
      <c r="A15" s="6" t="s">
        <v>23</v>
      </c>
      <c r="B15" s="1" t="s">
        <v>24</v>
      </c>
    </row>
    <row r="16" spans="1:3" ht="105">
      <c r="A16" s="6" t="s">
        <v>25</v>
      </c>
      <c r="B16" s="1" t="s">
        <v>26</v>
      </c>
    </row>
    <row r="17" spans="1:2" ht="45">
      <c r="A17" s="6" t="s">
        <v>27</v>
      </c>
      <c r="B17" s="1" t="s">
        <v>28</v>
      </c>
    </row>
    <row r="18" spans="1:2" ht="45">
      <c r="A18" s="4" t="s">
        <v>29</v>
      </c>
      <c r="B18" s="1" t="s">
        <v>30</v>
      </c>
    </row>
    <row r="19" spans="1:2" ht="47.25" customHeight="1">
      <c r="A19" s="6" t="s">
        <v>31</v>
      </c>
      <c r="B19" s="1" t="s">
        <v>32</v>
      </c>
    </row>
    <row r="20" spans="1:2" ht="60">
      <c r="A20" s="6" t="s">
        <v>33</v>
      </c>
      <c r="B20" s="1" t="s">
        <v>34</v>
      </c>
    </row>
    <row r="21" spans="1:2" ht="46.5" customHeight="1">
      <c r="A21" s="6" t="s">
        <v>35</v>
      </c>
      <c r="B21" s="1" t="s">
        <v>36</v>
      </c>
    </row>
    <row r="22" spans="1:2" ht="90">
      <c r="A22" s="6" t="s">
        <v>37</v>
      </c>
      <c r="B22" s="1" t="s">
        <v>38</v>
      </c>
    </row>
    <row r="23" spans="1:2" ht="60">
      <c r="A23" s="4" t="s">
        <v>39</v>
      </c>
      <c r="B23" s="1" t="s">
        <v>40</v>
      </c>
    </row>
    <row r="24" spans="1:2">
      <c r="A24" s="8"/>
    </row>
    <row r="25" spans="1:2">
      <c r="A25" s="8"/>
    </row>
    <row r="26" spans="1:2">
      <c r="A26"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67"/>
  <sheetViews>
    <sheetView zoomScaleNormal="10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2578125" defaultRowHeight="15"/>
  <cols>
    <col min="1" max="1" width="74.42578125" customWidth="1"/>
    <col min="2" max="12" width="18" style="17" customWidth="1"/>
    <col min="13" max="13" width="18" style="22" customWidth="1"/>
    <col min="14" max="14" width="11.42578125" customWidth="1"/>
  </cols>
  <sheetData>
    <row r="1" spans="1:14" s="13" customFormat="1">
      <c r="A1" s="13" t="s">
        <v>41</v>
      </c>
      <c r="B1" s="23">
        <v>44834</v>
      </c>
      <c r="C1" s="23">
        <v>44742</v>
      </c>
      <c r="D1" s="23">
        <v>44651</v>
      </c>
      <c r="E1" s="23">
        <v>44561</v>
      </c>
      <c r="F1" s="23">
        <v>44469</v>
      </c>
      <c r="G1" s="23">
        <v>44377</v>
      </c>
      <c r="H1" s="23">
        <v>44286</v>
      </c>
      <c r="I1" s="23">
        <v>44196</v>
      </c>
      <c r="J1" s="23">
        <v>44104</v>
      </c>
      <c r="K1" s="23">
        <v>44012</v>
      </c>
      <c r="L1" s="23">
        <v>43921</v>
      </c>
      <c r="M1" s="23">
        <v>43830</v>
      </c>
      <c r="N1" s="30"/>
    </row>
    <row r="2" spans="1:14">
      <c r="C2" s="22"/>
    </row>
    <row r="3" spans="1:14">
      <c r="A3" s="27"/>
      <c r="C3" s="22"/>
      <c r="H3" s="54"/>
    </row>
    <row r="4" spans="1:14">
      <c r="A4" s="27" t="s">
        <v>42</v>
      </c>
      <c r="B4" s="63">
        <v>435</v>
      </c>
      <c r="C4" s="63">
        <v>281</v>
      </c>
      <c r="D4" s="63">
        <v>143</v>
      </c>
      <c r="E4" s="59">
        <v>478</v>
      </c>
      <c r="F4" s="59">
        <v>356</v>
      </c>
      <c r="G4" s="59">
        <v>239</v>
      </c>
      <c r="H4" s="59">
        <v>117</v>
      </c>
      <c r="I4" s="59">
        <v>354</v>
      </c>
      <c r="J4" s="59">
        <v>249</v>
      </c>
      <c r="K4" s="59">
        <v>150</v>
      </c>
      <c r="L4" s="59">
        <v>69</v>
      </c>
      <c r="M4" s="59">
        <v>327</v>
      </c>
    </row>
    <row r="5" spans="1:14">
      <c r="A5" s="28" t="s">
        <v>43</v>
      </c>
      <c r="B5" s="11">
        <v>11.3946057</v>
      </c>
      <c r="C5" s="11">
        <v>6.9135794300000004</v>
      </c>
      <c r="D5" s="11">
        <v>3.43107096</v>
      </c>
      <c r="E5" s="56">
        <v>10</v>
      </c>
      <c r="F5" s="56">
        <v>7</v>
      </c>
      <c r="G5" s="56">
        <v>5</v>
      </c>
      <c r="H5" s="56">
        <v>2</v>
      </c>
      <c r="I5" s="56">
        <v>11</v>
      </c>
      <c r="J5" s="56">
        <v>8</v>
      </c>
      <c r="K5" s="56">
        <v>6</v>
      </c>
      <c r="L5" s="56">
        <v>3</v>
      </c>
      <c r="M5" s="56">
        <v>14</v>
      </c>
    </row>
    <row r="6" spans="1:14">
      <c r="A6" s="27" t="s">
        <v>44</v>
      </c>
      <c r="B6" s="63">
        <f>B4-B5</f>
        <v>423.6053943</v>
      </c>
      <c r="C6" s="63">
        <f>C4-C5</f>
        <v>274.08642056999997</v>
      </c>
      <c r="D6" s="63">
        <f>D4-D5</f>
        <v>139.56892904</v>
      </c>
      <c r="E6" s="59">
        <f>E4-E5</f>
        <v>468</v>
      </c>
      <c r="F6" s="59">
        <v>349</v>
      </c>
      <c r="G6" s="59">
        <v>234</v>
      </c>
      <c r="H6" s="59">
        <v>115</v>
      </c>
      <c r="I6" s="59">
        <f t="shared" ref="I6:M6" si="0">I4-I5</f>
        <v>343</v>
      </c>
      <c r="J6" s="59">
        <f t="shared" si="0"/>
        <v>241</v>
      </c>
      <c r="K6" s="59">
        <f t="shared" si="0"/>
        <v>144</v>
      </c>
      <c r="L6" s="59">
        <f t="shared" si="0"/>
        <v>66</v>
      </c>
      <c r="M6" s="59">
        <f t="shared" si="0"/>
        <v>313</v>
      </c>
    </row>
    <row r="7" spans="1:14">
      <c r="A7" s="27"/>
      <c r="B7" s="64"/>
      <c r="C7" s="63"/>
      <c r="D7" s="63"/>
      <c r="E7" s="59"/>
      <c r="F7" s="59"/>
      <c r="G7" s="59"/>
      <c r="H7" s="59"/>
      <c r="I7" s="61"/>
      <c r="J7" s="61"/>
      <c r="K7" s="61"/>
      <c r="L7" s="59"/>
      <c r="M7" s="59"/>
    </row>
    <row r="8" spans="1:14">
      <c r="A8" s="27" t="s">
        <v>45</v>
      </c>
      <c r="B8" s="63">
        <v>5343.5</v>
      </c>
      <c r="C8" s="63">
        <v>5188</v>
      </c>
      <c r="D8" s="63">
        <v>5255</v>
      </c>
      <c r="E8" s="59">
        <v>5017.25</v>
      </c>
      <c r="F8" s="59">
        <v>4896</v>
      </c>
      <c r="G8" s="59">
        <v>4782</v>
      </c>
      <c r="H8" s="59">
        <v>4664</v>
      </c>
      <c r="I8" s="59">
        <v>4549</v>
      </c>
      <c r="J8" s="59">
        <v>4444</v>
      </c>
      <c r="K8" s="59">
        <v>4342</v>
      </c>
      <c r="L8" s="59">
        <v>4259</v>
      </c>
      <c r="M8" s="59">
        <v>4297</v>
      </c>
    </row>
    <row r="9" spans="1:14">
      <c r="A9" s="28" t="s">
        <v>46</v>
      </c>
      <c r="B9" s="11">
        <v>325</v>
      </c>
      <c r="C9" s="11">
        <v>325</v>
      </c>
      <c r="D9" s="11">
        <v>325</v>
      </c>
      <c r="E9" s="56">
        <v>225</v>
      </c>
      <c r="F9" s="56">
        <v>225</v>
      </c>
      <c r="G9" s="56">
        <v>225</v>
      </c>
      <c r="H9" s="56">
        <v>225</v>
      </c>
      <c r="I9" s="56">
        <v>226</v>
      </c>
      <c r="J9" s="56">
        <v>226</v>
      </c>
      <c r="K9" s="56">
        <v>226</v>
      </c>
      <c r="L9" s="56">
        <v>227</v>
      </c>
      <c r="M9" s="56">
        <v>227</v>
      </c>
    </row>
    <row r="10" spans="1:14">
      <c r="A10" s="27" t="s">
        <v>47</v>
      </c>
      <c r="B10" s="63">
        <f>B8-B9</f>
        <v>5018.5</v>
      </c>
      <c r="C10" s="63">
        <f>C8-C9</f>
        <v>4863</v>
      </c>
      <c r="D10" s="63">
        <f>D8-D9</f>
        <v>4930</v>
      </c>
      <c r="E10" s="59">
        <f t="shared" ref="E10" si="1">E8-E9</f>
        <v>4792.25</v>
      </c>
      <c r="F10" s="59">
        <v>4671</v>
      </c>
      <c r="G10" s="59">
        <v>4557</v>
      </c>
      <c r="H10" s="59">
        <v>4439</v>
      </c>
      <c r="I10" s="59">
        <f t="shared" ref="I10" si="2">I8-I9</f>
        <v>4323</v>
      </c>
      <c r="J10" s="59">
        <f t="shared" ref="J10" si="3">J8-J9</f>
        <v>4218</v>
      </c>
      <c r="K10" s="59">
        <f t="shared" ref="K10:M10" si="4">K8-K9</f>
        <v>4116</v>
      </c>
      <c r="L10" s="59">
        <f t="shared" si="4"/>
        <v>4032</v>
      </c>
      <c r="M10" s="59">
        <f t="shared" si="4"/>
        <v>4070</v>
      </c>
    </row>
    <row r="11" spans="1:14">
      <c r="A11" s="27"/>
      <c r="B11" s="64"/>
      <c r="C11" s="63"/>
      <c r="D11" s="63"/>
      <c r="E11" s="59"/>
      <c r="F11" s="59"/>
      <c r="G11" s="59"/>
      <c r="H11" s="59"/>
      <c r="I11" s="61"/>
      <c r="J11" s="61"/>
      <c r="K11" s="61"/>
      <c r="L11" s="59"/>
      <c r="M11" s="59"/>
    </row>
    <row r="12" spans="1:14">
      <c r="A12" s="27" t="s">
        <v>48</v>
      </c>
      <c r="B12" s="63">
        <f>(C10+B10+D10+E10)/4</f>
        <v>4900.9375</v>
      </c>
      <c r="C12" s="63">
        <f>(D10+C10+E10)/3</f>
        <v>4861.75</v>
      </c>
      <c r="D12" s="63">
        <f>(E10+D10)/2</f>
        <v>4861.125</v>
      </c>
      <c r="E12" s="59">
        <f>AVERAGE(E10:I10)</f>
        <v>4556.45</v>
      </c>
      <c r="F12" s="59">
        <v>4496.75</v>
      </c>
      <c r="G12" s="59">
        <v>4439</v>
      </c>
      <c r="H12" s="59">
        <v>4380.5</v>
      </c>
      <c r="I12" s="59">
        <f>(I10+K10+J10+L10+M10)/5</f>
        <v>4151.8</v>
      </c>
      <c r="J12" s="59">
        <f>(J10+L10+K10+M10)/4</f>
        <v>4109</v>
      </c>
      <c r="K12" s="59">
        <f>(K10+M10+L10)/3</f>
        <v>4072.6666666666665</v>
      </c>
      <c r="L12" s="59">
        <f>(L10+M10)/2</f>
        <v>4051</v>
      </c>
      <c r="M12" s="59">
        <v>3909</v>
      </c>
    </row>
    <row r="13" spans="1:14">
      <c r="A13" s="27"/>
      <c r="B13" s="64"/>
      <c r="C13" s="64"/>
      <c r="D13" s="64"/>
      <c r="E13" s="61"/>
      <c r="F13" s="61"/>
      <c r="G13" s="61"/>
      <c r="H13" s="61"/>
      <c r="I13" s="59"/>
      <c r="J13" s="61"/>
      <c r="K13" s="61"/>
      <c r="L13" s="61"/>
      <c r="M13" s="59"/>
    </row>
    <row r="14" spans="1:14">
      <c r="A14" s="27" t="s">
        <v>49</v>
      </c>
      <c r="B14" s="63">
        <f>B6/273*365</f>
        <v>566.35886051098896</v>
      </c>
      <c r="C14" s="63">
        <f>C6/181*365</f>
        <v>552.71570998922641</v>
      </c>
      <c r="D14" s="63">
        <f>D6/90*365</f>
        <v>566.02954555111114</v>
      </c>
      <c r="E14" s="59">
        <f>E6/4*4</f>
        <v>468</v>
      </c>
      <c r="F14" s="59">
        <v>465.33333333333331</v>
      </c>
      <c r="G14" s="59">
        <v>468</v>
      </c>
      <c r="H14" s="59">
        <v>460</v>
      </c>
      <c r="I14" s="59">
        <f>I6/4*4</f>
        <v>343</v>
      </c>
      <c r="J14" s="59">
        <f>J6/3*4</f>
        <v>321.33333333333331</v>
      </c>
      <c r="K14" s="59">
        <f>K6*2</f>
        <v>288</v>
      </c>
      <c r="L14" s="59">
        <f>L6*4</f>
        <v>264</v>
      </c>
      <c r="M14" s="59">
        <f>+M6</f>
        <v>313</v>
      </c>
    </row>
    <row r="15" spans="1:14">
      <c r="A15" s="28" t="s">
        <v>50</v>
      </c>
      <c r="B15" s="11">
        <f>B12</f>
        <v>4900.9375</v>
      </c>
      <c r="C15" s="11">
        <f>C12</f>
        <v>4861.75</v>
      </c>
      <c r="D15" s="11">
        <f>D12</f>
        <v>4861.125</v>
      </c>
      <c r="E15" s="56">
        <f>E12</f>
        <v>4556.45</v>
      </c>
      <c r="F15" s="56">
        <v>4496.75</v>
      </c>
      <c r="G15" s="56">
        <v>4439</v>
      </c>
      <c r="H15" s="56">
        <v>4380.5</v>
      </c>
      <c r="I15" s="56">
        <f t="shared" ref="I15" si="5">I12</f>
        <v>4151.8</v>
      </c>
      <c r="J15" s="56">
        <f t="shared" ref="J15" si="6">J12</f>
        <v>4109</v>
      </c>
      <c r="K15" s="56">
        <f t="shared" ref="K15:L15" si="7">K12</f>
        <v>4072.6666666666665</v>
      </c>
      <c r="L15" s="56">
        <f t="shared" si="7"/>
        <v>4051</v>
      </c>
      <c r="M15" s="56">
        <f t="shared" ref="M15" si="8">M12</f>
        <v>3909</v>
      </c>
    </row>
    <row r="16" spans="1:14" ht="15.75" thickBot="1">
      <c r="A16" s="29" t="s">
        <v>51</v>
      </c>
      <c r="B16" s="16">
        <f>B14/B15</f>
        <v>0.11556133097208217</v>
      </c>
      <c r="C16" s="16">
        <f>C14/C15</f>
        <v>0.11368657581924747</v>
      </c>
      <c r="D16" s="16">
        <f>D14/D15</f>
        <v>0.11644003097042581</v>
      </c>
      <c r="E16" s="16">
        <f>E14/E15</f>
        <v>0.10271154078284631</v>
      </c>
      <c r="F16" s="16">
        <v>0.10348214451177702</v>
      </c>
      <c r="G16" s="16">
        <v>0.10642915070961928</v>
      </c>
      <c r="H16" s="16">
        <v>0.10501084351101472</v>
      </c>
      <c r="I16" s="16">
        <f>I14/I15</f>
        <v>8.2614769497567311E-2</v>
      </c>
      <c r="J16" s="16">
        <f>J14/J15</f>
        <v>7.820232011032692E-2</v>
      </c>
      <c r="K16" s="16">
        <f>K14/K15</f>
        <v>7.0715338025863481E-2</v>
      </c>
      <c r="L16" s="16">
        <f t="shared" ref="L16:M16" si="9">L14/L15</f>
        <v>6.5169094050851639E-2</v>
      </c>
      <c r="M16" s="16">
        <f t="shared" si="9"/>
        <v>8.0071629572780759E-2</v>
      </c>
    </row>
    <row r="17" spans="1:14">
      <c r="A17" s="36"/>
      <c r="B17" s="70"/>
      <c r="C17" s="65"/>
      <c r="D17" s="65"/>
      <c r="E17" s="38"/>
      <c r="F17" s="38"/>
      <c r="G17" s="38"/>
      <c r="H17" s="38"/>
      <c r="I17" s="38"/>
      <c r="J17" s="38"/>
      <c r="K17" s="38"/>
      <c r="L17" s="38"/>
      <c r="M17" s="37"/>
    </row>
    <row r="18" spans="1:14">
      <c r="B18" s="22"/>
      <c r="C18" s="22"/>
    </row>
    <row r="19" spans="1:14">
      <c r="A19" t="s">
        <v>52</v>
      </c>
      <c r="B19" s="63">
        <v>660</v>
      </c>
      <c r="C19" s="63">
        <v>424</v>
      </c>
      <c r="D19" s="63">
        <v>207</v>
      </c>
      <c r="E19" s="59">
        <v>712</v>
      </c>
      <c r="F19" s="59">
        <v>529</v>
      </c>
      <c r="G19" s="59">
        <v>352</v>
      </c>
      <c r="H19" s="59">
        <v>171</v>
      </c>
      <c r="I19" s="59">
        <v>671</v>
      </c>
      <c r="J19" s="59">
        <f>335+166</f>
        <v>501</v>
      </c>
      <c r="K19" s="59">
        <f>177+158</f>
        <v>335</v>
      </c>
      <c r="L19" s="59">
        <v>177</v>
      </c>
      <c r="M19" s="59">
        <v>630</v>
      </c>
    </row>
    <row r="20" spans="1:14">
      <c r="A20" t="s">
        <v>53</v>
      </c>
      <c r="B20" s="60">
        <f>B19/273*365</f>
        <v>882.41758241758237</v>
      </c>
      <c r="C20" s="60">
        <f>C19/181*365</f>
        <v>855.02762430939219</v>
      </c>
      <c r="D20" s="60">
        <f>D19/90*365</f>
        <v>839.49999999999989</v>
      </c>
      <c r="E20" s="60">
        <f>+E19/4*4</f>
        <v>712</v>
      </c>
      <c r="F20" s="60">
        <v>705.33333333333337</v>
      </c>
      <c r="G20" s="60">
        <v>704</v>
      </c>
      <c r="H20" s="60">
        <v>684</v>
      </c>
      <c r="I20" s="60">
        <f>+I19</f>
        <v>671</v>
      </c>
      <c r="J20" s="60">
        <f>+J19/3*4</f>
        <v>668</v>
      </c>
      <c r="K20" s="60">
        <f>+K19*2</f>
        <v>670</v>
      </c>
      <c r="L20" s="60">
        <f>+L19*4</f>
        <v>708</v>
      </c>
      <c r="M20" s="60">
        <f>+M19</f>
        <v>630</v>
      </c>
    </row>
    <row r="21" spans="1:14">
      <c r="B21" s="22"/>
      <c r="C21" s="22"/>
    </row>
    <row r="22" spans="1:14">
      <c r="A22" t="s">
        <v>54</v>
      </c>
      <c r="B22" s="63">
        <v>44428</v>
      </c>
      <c r="C22" s="63">
        <v>44610</v>
      </c>
      <c r="D22" s="63">
        <v>42965</v>
      </c>
      <c r="E22" s="59">
        <v>41876</v>
      </c>
      <c r="F22" s="59">
        <v>40482</v>
      </c>
      <c r="G22" s="59">
        <v>38202</v>
      </c>
      <c r="H22" s="59">
        <v>36797</v>
      </c>
      <c r="I22" s="59">
        <v>35767</v>
      </c>
      <c r="J22" s="59">
        <v>34871</v>
      </c>
      <c r="K22" s="59">
        <v>33816</v>
      </c>
      <c r="L22" s="59">
        <v>33303</v>
      </c>
      <c r="M22" s="59">
        <v>31917</v>
      </c>
    </row>
    <row r="23" spans="1:14">
      <c r="A23" t="s">
        <v>55</v>
      </c>
      <c r="B23" s="63">
        <f>(B22+C22+D22+E22)/4</f>
        <v>43469.75</v>
      </c>
      <c r="C23" s="63">
        <f>(C22+D22+E22)/3</f>
        <v>43150.333333333336</v>
      </c>
      <c r="D23" s="63">
        <f>(D22+E22)/2</f>
        <v>42420.5</v>
      </c>
      <c r="E23" s="59">
        <f>AVERAGE(E22:I22)</f>
        <v>38624.800000000003</v>
      </c>
      <c r="F23" s="59">
        <v>37812</v>
      </c>
      <c r="G23" s="59">
        <v>36922</v>
      </c>
      <c r="H23" s="59">
        <v>36282</v>
      </c>
      <c r="I23" s="59">
        <f>AVERAGE(I22:M22)</f>
        <v>33934.800000000003</v>
      </c>
      <c r="J23" s="59">
        <f>AVERAGE(J22:M22)</f>
        <v>33476.75</v>
      </c>
      <c r="K23" s="59">
        <f>AVERAGE(K22:M22)</f>
        <v>33012</v>
      </c>
      <c r="L23" s="59">
        <f>AVERAGE(L22:M22)</f>
        <v>32610</v>
      </c>
      <c r="M23" s="60">
        <v>30314.6</v>
      </c>
    </row>
    <row r="24" spans="1:14">
      <c r="B24" s="22"/>
      <c r="C24" s="22"/>
      <c r="I24" s="18"/>
      <c r="J24" s="18"/>
      <c r="K24" s="18"/>
    </row>
    <row r="25" spans="1:14" ht="15.75" thickBot="1">
      <c r="A25" s="31" t="s">
        <v>7</v>
      </c>
      <c r="B25" s="20">
        <f>+B20/B23</f>
        <v>2.0299578038005334E-2</v>
      </c>
      <c r="C25" s="20">
        <f>+C20/C23</f>
        <v>1.9815087352961169E-2</v>
      </c>
      <c r="D25" s="20">
        <f>+D20/D23</f>
        <v>1.9789960042903783E-2</v>
      </c>
      <c r="E25" s="20">
        <f>+E20/E23</f>
        <v>1.8433752407779457E-2</v>
      </c>
      <c r="F25" s="20">
        <v>1.8653690186536901E-2</v>
      </c>
      <c r="G25" s="20">
        <v>1.9067222793998157E-2</v>
      </c>
      <c r="H25" s="20">
        <v>1.8852323466181577E-2</v>
      </c>
      <c r="I25" s="20">
        <f t="shared" ref="I25:M25" si="10">+I20/I23</f>
        <v>1.9773212159788771E-2</v>
      </c>
      <c r="J25" s="20">
        <f t="shared" si="10"/>
        <v>1.995414728132211E-2</v>
      </c>
      <c r="K25" s="20">
        <f t="shared" si="10"/>
        <v>2.0295650066642433E-2</v>
      </c>
      <c r="L25" s="20">
        <f t="shared" si="10"/>
        <v>2.1711131554737809E-2</v>
      </c>
      <c r="M25" s="20">
        <f t="shared" si="10"/>
        <v>2.0782065407427445E-2</v>
      </c>
    </row>
    <row r="26" spans="1:14">
      <c r="B26" s="22"/>
      <c r="C26" s="22"/>
      <c r="I26" s="18"/>
      <c r="J26" s="18"/>
      <c r="K26" s="18"/>
    </row>
    <row r="27" spans="1:14">
      <c r="B27" s="22"/>
      <c r="C27" s="22"/>
      <c r="I27" s="18"/>
      <c r="J27" s="18"/>
      <c r="K27" s="18"/>
    </row>
    <row r="28" spans="1:14">
      <c r="A28" t="s">
        <v>56</v>
      </c>
      <c r="B28" s="63">
        <v>227</v>
      </c>
      <c r="C28" s="63">
        <v>149</v>
      </c>
      <c r="D28" s="63">
        <v>73</v>
      </c>
      <c r="E28" s="24">
        <v>285</v>
      </c>
      <c r="F28" s="24">
        <v>215</v>
      </c>
      <c r="G28" s="24">
        <v>143</v>
      </c>
      <c r="H28" s="24">
        <v>71</v>
      </c>
      <c r="I28" s="24">
        <v>292</v>
      </c>
      <c r="J28" s="24">
        <f>141+70</f>
        <v>211</v>
      </c>
      <c r="K28" s="24">
        <f>74+67</f>
        <v>141</v>
      </c>
      <c r="L28" s="24">
        <v>74</v>
      </c>
      <c r="M28" s="24">
        <v>284</v>
      </c>
    </row>
    <row r="29" spans="1:14">
      <c r="B29" s="64"/>
      <c r="C29" s="63"/>
      <c r="D29" s="63"/>
      <c r="E29" s="24"/>
      <c r="F29" s="24"/>
      <c r="G29" s="24"/>
      <c r="H29" s="24"/>
      <c r="I29" s="24"/>
      <c r="J29" s="24"/>
      <c r="K29" s="24"/>
      <c r="L29" s="24"/>
      <c r="M29" s="24"/>
      <c r="N29" s="55"/>
    </row>
    <row r="30" spans="1:14">
      <c r="A30" t="s">
        <v>52</v>
      </c>
      <c r="B30" s="63">
        <v>660</v>
      </c>
      <c r="C30" s="63">
        <f>+C19</f>
        <v>424</v>
      </c>
      <c r="D30" s="63">
        <f>+D19</f>
        <v>207</v>
      </c>
      <c r="E30" s="24">
        <f>+E19</f>
        <v>712</v>
      </c>
      <c r="F30" s="24">
        <v>529</v>
      </c>
      <c r="G30" s="24">
        <v>352</v>
      </c>
      <c r="H30" s="24">
        <v>171</v>
      </c>
      <c r="I30" s="24">
        <v>671</v>
      </c>
      <c r="J30" s="24">
        <v>501</v>
      </c>
      <c r="K30" s="24">
        <v>335</v>
      </c>
      <c r="L30" s="24">
        <v>177</v>
      </c>
      <c r="M30" s="24">
        <v>630</v>
      </c>
      <c r="N30" s="55"/>
    </row>
    <row r="31" spans="1:14">
      <c r="A31" s="30" t="s">
        <v>57</v>
      </c>
      <c r="B31" s="56">
        <v>160</v>
      </c>
      <c r="C31" s="56">
        <v>107</v>
      </c>
      <c r="D31" s="56">
        <v>65</v>
      </c>
      <c r="E31" s="56">
        <v>187</v>
      </c>
      <c r="F31" s="56">
        <v>134</v>
      </c>
      <c r="G31" s="56">
        <v>84</v>
      </c>
      <c r="H31" s="56">
        <v>41</v>
      </c>
      <c r="I31" s="56">
        <v>163</v>
      </c>
      <c r="J31" s="56">
        <v>112</v>
      </c>
      <c r="K31" s="56">
        <v>63</v>
      </c>
      <c r="L31" s="56">
        <v>28</v>
      </c>
      <c r="M31" s="56">
        <v>126</v>
      </c>
      <c r="N31" s="55"/>
    </row>
    <row r="32" spans="1:14">
      <c r="A32" s="30" t="s">
        <v>58</v>
      </c>
      <c r="B32" s="56">
        <f>SUM(B30:B31)</f>
        <v>820</v>
      </c>
      <c r="C32" s="56">
        <f>SUM(C30:C31)</f>
        <v>531</v>
      </c>
      <c r="D32" s="56">
        <f>SUM(D30:D31)</f>
        <v>272</v>
      </c>
      <c r="E32" s="56">
        <f>SUM(E30:E31)</f>
        <v>899</v>
      </c>
      <c r="F32" s="56">
        <v>663</v>
      </c>
      <c r="G32" s="56">
        <v>436</v>
      </c>
      <c r="H32" s="56">
        <f t="shared" ref="H32:M32" si="11">SUM(H30:H31)</f>
        <v>212</v>
      </c>
      <c r="I32" s="56">
        <f t="shared" si="11"/>
        <v>834</v>
      </c>
      <c r="J32" s="56">
        <f t="shared" si="11"/>
        <v>613</v>
      </c>
      <c r="K32" s="56">
        <f t="shared" si="11"/>
        <v>398</v>
      </c>
      <c r="L32" s="56">
        <f t="shared" si="11"/>
        <v>205</v>
      </c>
      <c r="M32" s="56">
        <f t="shared" si="11"/>
        <v>756</v>
      </c>
    </row>
    <row r="33" spans="1:14" s="3" customFormat="1" ht="15.75" thickBot="1">
      <c r="A33" s="31" t="s">
        <v>9</v>
      </c>
      <c r="B33" s="26">
        <f>B28/B32</f>
        <v>0.27682926829268295</v>
      </c>
      <c r="C33" s="26">
        <f>C28/C32</f>
        <v>0.28060263653483991</v>
      </c>
      <c r="D33" s="26">
        <f>D28/D32</f>
        <v>0.26838235294117646</v>
      </c>
      <c r="E33" s="26">
        <f>E28/E32</f>
        <v>0.31701890989988879</v>
      </c>
      <c r="F33" s="26">
        <v>0.32428355957767724</v>
      </c>
      <c r="G33" s="26">
        <v>0.32798165137614677</v>
      </c>
      <c r="H33" s="26">
        <v>0.33490566037735847</v>
      </c>
      <c r="I33" s="26">
        <f t="shared" ref="I33" si="12">I28/I32</f>
        <v>0.3501199040767386</v>
      </c>
      <c r="J33" s="26">
        <f t="shared" ref="J33" si="13">J28/J32</f>
        <v>0.3442088091353997</v>
      </c>
      <c r="K33" s="26">
        <f t="shared" ref="K33:M33" si="14">K28/K32</f>
        <v>0.35427135678391958</v>
      </c>
      <c r="L33" s="26">
        <f t="shared" si="14"/>
        <v>0.36097560975609755</v>
      </c>
      <c r="M33" s="26">
        <f t="shared" si="14"/>
        <v>0.37566137566137564</v>
      </c>
      <c r="N33"/>
    </row>
    <row r="34" spans="1:14">
      <c r="C34" s="22"/>
    </row>
    <row r="35" spans="1:14">
      <c r="C35" s="22"/>
    </row>
    <row r="36" spans="1:14">
      <c r="A36" t="s">
        <v>56</v>
      </c>
      <c r="B36" s="63">
        <f>+B28</f>
        <v>227</v>
      </c>
      <c r="C36" s="63">
        <f>+C28</f>
        <v>149</v>
      </c>
      <c r="D36" s="63">
        <f>+D28</f>
        <v>73</v>
      </c>
      <c r="E36" s="24">
        <f>+E28</f>
        <v>285</v>
      </c>
      <c r="F36" s="24">
        <v>215</v>
      </c>
      <c r="G36" s="24">
        <v>143</v>
      </c>
      <c r="H36" s="24">
        <v>71</v>
      </c>
      <c r="I36" s="24">
        <v>292</v>
      </c>
      <c r="J36" s="24">
        <f>141+70</f>
        <v>211</v>
      </c>
      <c r="K36" s="24">
        <f>74+67</f>
        <v>141</v>
      </c>
      <c r="L36" s="24">
        <v>74</v>
      </c>
      <c r="M36" s="24">
        <v>284</v>
      </c>
    </row>
    <row r="37" spans="1:14">
      <c r="A37" t="s">
        <v>58</v>
      </c>
      <c r="B37" s="63">
        <f>+B32</f>
        <v>820</v>
      </c>
      <c r="C37" s="63">
        <f>+C32</f>
        <v>531</v>
      </c>
      <c r="D37" s="63">
        <f>+D32</f>
        <v>272</v>
      </c>
      <c r="E37" s="24">
        <f>+E32</f>
        <v>899</v>
      </c>
      <c r="F37" s="24">
        <v>663</v>
      </c>
      <c r="G37" s="24">
        <v>436</v>
      </c>
      <c r="H37" s="24">
        <v>212</v>
      </c>
      <c r="I37" s="24">
        <v>834</v>
      </c>
      <c r="J37" s="24">
        <v>613</v>
      </c>
      <c r="K37" s="24">
        <v>398</v>
      </c>
      <c r="L37" s="24">
        <v>205</v>
      </c>
      <c r="M37" s="24">
        <v>756</v>
      </c>
    </row>
    <row r="38" spans="1:14">
      <c r="A38" s="30" t="s">
        <v>59</v>
      </c>
      <c r="B38" s="56">
        <v>0</v>
      </c>
      <c r="C38" s="56">
        <v>0</v>
      </c>
      <c r="D38" s="56">
        <v>0</v>
      </c>
      <c r="E38" s="56">
        <v>51.9</v>
      </c>
      <c r="F38" s="56">
        <v>51.9</v>
      </c>
      <c r="G38" s="56">
        <v>35.6</v>
      </c>
      <c r="H38" s="56">
        <v>18.3</v>
      </c>
      <c r="I38" s="56">
        <v>64.599999999999994</v>
      </c>
      <c r="J38" s="56">
        <v>45.3</v>
      </c>
      <c r="K38" s="56">
        <v>29.4</v>
      </c>
      <c r="L38" s="56">
        <v>15.3</v>
      </c>
      <c r="M38" s="56">
        <v>51.9</v>
      </c>
    </row>
    <row r="39" spans="1:14">
      <c r="A39" s="30" t="s">
        <v>60</v>
      </c>
      <c r="B39" s="11">
        <f>+B37+B38</f>
        <v>820</v>
      </c>
      <c r="C39" s="11">
        <f>+C37+C38</f>
        <v>531</v>
      </c>
      <c r="D39" s="11">
        <f>+D37+D38</f>
        <v>272</v>
      </c>
      <c r="E39" s="11">
        <f>+E37+E38</f>
        <v>950.9</v>
      </c>
      <c r="F39" s="11">
        <v>714.9</v>
      </c>
      <c r="G39" s="11">
        <v>471.6</v>
      </c>
      <c r="H39" s="11">
        <v>230.3</v>
      </c>
      <c r="I39" s="11">
        <f t="shared" ref="I39:M39" si="15">+I37+I38</f>
        <v>898.6</v>
      </c>
      <c r="J39" s="11">
        <f t="shared" si="15"/>
        <v>658.3</v>
      </c>
      <c r="K39" s="11">
        <f t="shared" si="15"/>
        <v>427.4</v>
      </c>
      <c r="L39" s="11">
        <f t="shared" si="15"/>
        <v>220.3</v>
      </c>
      <c r="M39" s="11">
        <f t="shared" si="15"/>
        <v>807.9</v>
      </c>
    </row>
    <row r="40" spans="1:14" ht="30.75" thickBot="1">
      <c r="A40" s="14" t="s">
        <v>61</v>
      </c>
      <c r="B40" s="26">
        <f>B36/B39</f>
        <v>0.27682926829268295</v>
      </c>
      <c r="C40" s="26">
        <f>C36/C39</f>
        <v>0.28060263653483991</v>
      </c>
      <c r="D40" s="26">
        <f>D36/D39</f>
        <v>0.26838235294117646</v>
      </c>
      <c r="E40" s="26">
        <f>E36/E39</f>
        <v>0.29971605847092231</v>
      </c>
      <c r="F40" s="26">
        <v>0.30074136242831168</v>
      </c>
      <c r="G40" s="26">
        <v>0.30322307039864288</v>
      </c>
      <c r="H40" s="26">
        <v>0.30829353017802863</v>
      </c>
      <c r="I40" s="26">
        <f>I36/I39</f>
        <v>0.32494992210104606</v>
      </c>
      <c r="J40" s="26">
        <f t="shared" ref="J40" si="16">J36/J39</f>
        <v>0.32052255810420782</v>
      </c>
      <c r="K40" s="26">
        <f t="shared" ref="K40" si="17">K36/K39</f>
        <v>0.32990173139915774</v>
      </c>
      <c r="L40" s="26">
        <f t="shared" ref="L40" si="18">L36/L39</f>
        <v>0.33590558329550613</v>
      </c>
      <c r="M40" s="26">
        <f t="shared" ref="M40" si="19">M36/M39</f>
        <v>0.35152865453645255</v>
      </c>
    </row>
    <row r="41" spans="1:14">
      <c r="C41" s="22"/>
    </row>
    <row r="42" spans="1:14">
      <c r="C42" s="22"/>
    </row>
    <row r="43" spans="1:14">
      <c r="A43" t="s">
        <v>62</v>
      </c>
      <c r="B43" s="63">
        <v>24769</v>
      </c>
      <c r="C43" s="63">
        <v>24912</v>
      </c>
      <c r="D43" s="63">
        <v>23223</v>
      </c>
      <c r="E43" s="24">
        <v>22287</v>
      </c>
      <c r="F43" s="24">
        <v>21233</v>
      </c>
      <c r="G43" s="24">
        <v>19140</v>
      </c>
      <c r="H43" s="24">
        <v>18122</v>
      </c>
      <c r="I43" s="24">
        <v>17627</v>
      </c>
      <c r="J43" s="24">
        <v>17334</v>
      </c>
      <c r="K43" s="24">
        <v>16810</v>
      </c>
      <c r="L43" s="24">
        <v>15953</v>
      </c>
      <c r="M43" s="24">
        <v>15360</v>
      </c>
    </row>
    <row r="44" spans="1:14">
      <c r="A44" s="30" t="s">
        <v>63</v>
      </c>
      <c r="B44" s="11">
        <v>35357</v>
      </c>
      <c r="C44" s="11">
        <v>34833</v>
      </c>
      <c r="D44" s="11">
        <v>33777</v>
      </c>
      <c r="E44" s="56">
        <v>32472</v>
      </c>
      <c r="F44" s="56">
        <v>31092</v>
      </c>
      <c r="G44" s="56">
        <v>30728</v>
      </c>
      <c r="H44" s="56">
        <v>29351</v>
      </c>
      <c r="I44" s="56">
        <v>28069</v>
      </c>
      <c r="J44" s="56">
        <v>27360</v>
      </c>
      <c r="K44" s="56">
        <v>26218</v>
      </c>
      <c r="L44" s="56">
        <v>25612</v>
      </c>
      <c r="M44" s="56">
        <v>25503</v>
      </c>
    </row>
    <row r="45" spans="1:14" ht="15.75" thickBot="1">
      <c r="A45" s="33" t="s">
        <v>64</v>
      </c>
      <c r="B45" s="26">
        <f>B43/B44</f>
        <v>0.70054020420284524</v>
      </c>
      <c r="C45" s="26">
        <f>C43/C44</f>
        <v>0.71518387735767808</v>
      </c>
      <c r="D45" s="26">
        <f>D43/D44</f>
        <v>0.68753885780264679</v>
      </c>
      <c r="E45" s="26">
        <f>E43/E44</f>
        <v>0.68634515890613457</v>
      </c>
      <c r="F45" s="26">
        <v>0.68290878682619327</v>
      </c>
      <c r="G45" s="26">
        <v>0.62288466545170529</v>
      </c>
      <c r="H45" s="26">
        <v>0.61742359715171546</v>
      </c>
      <c r="I45" s="26">
        <f>I43/I44</f>
        <v>0.62798817200470269</v>
      </c>
      <c r="J45" s="26">
        <f>J43/J44</f>
        <v>0.63355263157894737</v>
      </c>
      <c r="K45" s="26">
        <f>K43/K44-0.001</f>
        <v>0.64016256007323213</v>
      </c>
      <c r="L45" s="26">
        <f>L43/L44-0.001</f>
        <v>0.62187209120724662</v>
      </c>
      <c r="M45" s="26">
        <f>M43/M44-0.001</f>
        <v>0.60128208446065168</v>
      </c>
      <c r="N45" s="62"/>
    </row>
    <row r="46" spans="1:14">
      <c r="B46" s="22"/>
      <c r="C46" s="22"/>
    </row>
    <row r="47" spans="1:14">
      <c r="B47" s="22"/>
      <c r="C47" s="22"/>
    </row>
    <row r="48" spans="1:14">
      <c r="A48" s="22" t="s">
        <v>65</v>
      </c>
      <c r="B48" s="60">
        <v>35492</v>
      </c>
      <c r="C48" s="60">
        <v>34964</v>
      </c>
      <c r="D48" s="60">
        <v>33903</v>
      </c>
      <c r="E48" s="60">
        <v>32583</v>
      </c>
      <c r="F48" s="60">
        <v>31207</v>
      </c>
      <c r="G48" s="60">
        <v>30843</v>
      </c>
      <c r="H48" s="60">
        <v>29474</v>
      </c>
      <c r="I48" s="60">
        <v>28222</v>
      </c>
      <c r="J48" s="60">
        <v>27519</v>
      </c>
      <c r="K48" s="60">
        <v>26406</v>
      </c>
      <c r="L48" s="60">
        <v>25792</v>
      </c>
      <c r="M48" s="60">
        <v>25642</v>
      </c>
    </row>
    <row r="49" spans="1:13">
      <c r="A49" s="34" t="s">
        <v>66</v>
      </c>
      <c r="B49" s="58">
        <f>F48</f>
        <v>31207</v>
      </c>
      <c r="C49" s="58">
        <f>G48</f>
        <v>30843</v>
      </c>
      <c r="D49" s="58">
        <f>H48</f>
        <v>29474</v>
      </c>
      <c r="E49" s="58">
        <f>+I48</f>
        <v>28222</v>
      </c>
      <c r="F49" s="58">
        <v>27519</v>
      </c>
      <c r="G49" s="58">
        <v>26406</v>
      </c>
      <c r="H49" s="58">
        <v>25792</v>
      </c>
      <c r="I49" s="58">
        <v>25642</v>
      </c>
      <c r="J49" s="58">
        <v>25443</v>
      </c>
      <c r="K49" s="58">
        <v>23292</v>
      </c>
      <c r="L49" s="58">
        <v>22318</v>
      </c>
      <c r="M49" s="58">
        <v>22294</v>
      </c>
    </row>
    <row r="50" spans="1:13">
      <c r="A50" s="22" t="s">
        <v>67</v>
      </c>
      <c r="B50" s="63">
        <f>B48-B49</f>
        <v>4285</v>
      </c>
      <c r="C50" s="63">
        <f>C48-C49</f>
        <v>4121</v>
      </c>
      <c r="D50" s="63">
        <f>D48-D49</f>
        <v>4429</v>
      </c>
      <c r="E50" s="24">
        <f>E48-E49</f>
        <v>4361</v>
      </c>
      <c r="F50" s="24">
        <v>3688</v>
      </c>
      <c r="G50" s="24">
        <v>4437</v>
      </c>
      <c r="H50" s="24">
        <v>3682</v>
      </c>
      <c r="I50" s="24">
        <f t="shared" ref="I50:M50" si="20">I48-I49</f>
        <v>2580</v>
      </c>
      <c r="J50" s="24">
        <f t="shared" si="20"/>
        <v>2076</v>
      </c>
      <c r="K50" s="24">
        <f t="shared" si="20"/>
        <v>3114</v>
      </c>
      <c r="L50" s="24">
        <f t="shared" si="20"/>
        <v>3474</v>
      </c>
      <c r="M50" s="24">
        <f t="shared" si="20"/>
        <v>3348</v>
      </c>
    </row>
    <row r="51" spans="1:13">
      <c r="A51" s="22"/>
      <c r="B51" s="22"/>
      <c r="C51" s="22"/>
      <c r="I51" s="22"/>
    </row>
    <row r="52" spans="1:13" ht="15.75" thickBot="1">
      <c r="A52" s="31" t="s">
        <v>68</v>
      </c>
      <c r="B52" s="26">
        <f>B50/B49</f>
        <v>0.1373089370974461</v>
      </c>
      <c r="C52" s="26">
        <f>C50/C49</f>
        <v>0.13361216483480853</v>
      </c>
      <c r="D52" s="26">
        <f>D50/D49</f>
        <v>0.15026803284250526</v>
      </c>
      <c r="E52" s="26">
        <f>E50/E49</f>
        <v>0.15452483877825809</v>
      </c>
      <c r="F52" s="26">
        <v>0.13401649769250337</v>
      </c>
      <c r="G52" s="26">
        <v>0.16802999318336742</v>
      </c>
      <c r="H52" s="26">
        <v>0.14275744416873448</v>
      </c>
      <c r="I52" s="26">
        <f t="shared" ref="I52:L52" si="21">I50/I49</f>
        <v>0.10061617658528976</v>
      </c>
      <c r="J52" s="26">
        <f t="shared" si="21"/>
        <v>8.1594151633062134E-2</v>
      </c>
      <c r="K52" s="26">
        <f t="shared" si="21"/>
        <v>0.13369397217928902</v>
      </c>
      <c r="L52" s="26">
        <f t="shared" si="21"/>
        <v>0.15565910923917914</v>
      </c>
      <c r="M52" s="26">
        <f>M50/M49</f>
        <v>0.15017493496007894</v>
      </c>
    </row>
    <row r="53" spans="1:13">
      <c r="B53" s="22"/>
      <c r="C53" s="22"/>
    </row>
    <row r="54" spans="1:13">
      <c r="B54" s="60"/>
      <c r="C54" s="60"/>
      <c r="D54" s="54"/>
      <c r="E54" s="54"/>
      <c r="F54" s="54"/>
      <c r="G54" s="54"/>
    </row>
    <row r="55" spans="1:13">
      <c r="A55" s="22" t="s">
        <v>69</v>
      </c>
      <c r="B55" s="60">
        <f>+B43</f>
        <v>24769</v>
      </c>
      <c r="C55" s="60">
        <f>+C43</f>
        <v>24912</v>
      </c>
      <c r="D55" s="60">
        <f>+D43</f>
        <v>23223</v>
      </c>
      <c r="E55" s="60">
        <f>+E43</f>
        <v>22287</v>
      </c>
      <c r="F55" s="60">
        <v>21233</v>
      </c>
      <c r="G55" s="60">
        <v>19140</v>
      </c>
      <c r="H55" s="60">
        <v>18122</v>
      </c>
      <c r="I55" s="60">
        <f>+I43</f>
        <v>17627</v>
      </c>
      <c r="J55" s="60">
        <f>+J43</f>
        <v>17334</v>
      </c>
      <c r="K55" s="60">
        <f t="shared" ref="K55:M55" si="22">+K43</f>
        <v>16810</v>
      </c>
      <c r="L55" s="60">
        <f>+L43</f>
        <v>15953</v>
      </c>
      <c r="M55" s="60">
        <f t="shared" si="22"/>
        <v>15360</v>
      </c>
    </row>
    <row r="56" spans="1:13">
      <c r="A56" s="34" t="s">
        <v>70</v>
      </c>
      <c r="B56" s="58">
        <f>F55</f>
        <v>21233</v>
      </c>
      <c r="C56" s="58">
        <f>G55</f>
        <v>19140</v>
      </c>
      <c r="D56" s="58">
        <f>H55</f>
        <v>18122</v>
      </c>
      <c r="E56" s="58">
        <f>+I55</f>
        <v>17627</v>
      </c>
      <c r="F56" s="58">
        <v>17334</v>
      </c>
      <c r="G56" s="58">
        <v>16810</v>
      </c>
      <c r="H56" s="58">
        <v>15953</v>
      </c>
      <c r="I56" s="58">
        <f>M55</f>
        <v>15360</v>
      </c>
      <c r="J56" s="58">
        <v>15452</v>
      </c>
      <c r="K56" s="58">
        <v>15468</v>
      </c>
      <c r="L56" s="58">
        <v>15106</v>
      </c>
      <c r="M56" s="56">
        <v>14909</v>
      </c>
    </row>
    <row r="57" spans="1:13">
      <c r="A57" s="22" t="s">
        <v>71</v>
      </c>
      <c r="B57" s="63">
        <f>B55-B56</f>
        <v>3536</v>
      </c>
      <c r="C57" s="63">
        <f>C55-C56</f>
        <v>5772</v>
      </c>
      <c r="D57" s="63">
        <f>D55-D56</f>
        <v>5101</v>
      </c>
      <c r="E57" s="24">
        <f>E55-E56</f>
        <v>4660</v>
      </c>
      <c r="F57" s="24">
        <v>3899</v>
      </c>
      <c r="G57" s="24">
        <v>2330</v>
      </c>
      <c r="H57" s="24">
        <v>2169</v>
      </c>
      <c r="I57" s="24">
        <f t="shared" ref="I57:M57" si="23">I55-I56</f>
        <v>2267</v>
      </c>
      <c r="J57" s="24">
        <f t="shared" si="23"/>
        <v>1882</v>
      </c>
      <c r="K57" s="24">
        <f t="shared" si="23"/>
        <v>1342</v>
      </c>
      <c r="L57" s="24">
        <f t="shared" si="23"/>
        <v>847</v>
      </c>
      <c r="M57" s="24">
        <f t="shared" si="23"/>
        <v>451</v>
      </c>
    </row>
    <row r="58" spans="1:13">
      <c r="A58" s="22"/>
      <c r="B58" s="22"/>
      <c r="C58" s="22"/>
      <c r="I58" s="22"/>
    </row>
    <row r="59" spans="1:13" ht="15.75" thickBot="1">
      <c r="A59" s="31" t="s">
        <v>17</v>
      </c>
      <c r="B59" s="26">
        <f>B57/B56</f>
        <v>0.16653322658126501</v>
      </c>
      <c r="C59" s="26">
        <f>C57/C56</f>
        <v>0.30156739811912225</v>
      </c>
      <c r="D59" s="26">
        <f>D57/D56</f>
        <v>0.2814810727292793</v>
      </c>
      <c r="E59" s="26">
        <f>E57/E56</f>
        <v>0.26436716400975774</v>
      </c>
      <c r="F59" s="26">
        <v>0.22493365639783086</v>
      </c>
      <c r="G59" s="26">
        <v>0.13860797144556811</v>
      </c>
      <c r="H59" s="26">
        <v>0.13596188804613552</v>
      </c>
      <c r="I59" s="26">
        <f t="shared" ref="I59:M59" si="24">I57/I56</f>
        <v>0.14759114583333333</v>
      </c>
      <c r="J59" s="26">
        <f t="shared" si="24"/>
        <v>0.12179653119337303</v>
      </c>
      <c r="K59" s="26">
        <f t="shared" si="24"/>
        <v>8.6759762089475043E-2</v>
      </c>
      <c r="L59" s="26">
        <f t="shared" si="24"/>
        <v>5.6070435588507876E-2</v>
      </c>
      <c r="M59" s="26">
        <f t="shared" si="24"/>
        <v>3.0250184452344221E-2</v>
      </c>
    </row>
    <row r="60" spans="1:13">
      <c r="B60" s="22"/>
      <c r="C60" s="22"/>
    </row>
    <row r="61" spans="1:13">
      <c r="B61" s="22"/>
      <c r="C61" s="22"/>
    </row>
    <row r="62" spans="1:13">
      <c r="A62" t="s">
        <v>54</v>
      </c>
      <c r="B62" s="60">
        <f>+B22</f>
        <v>44428</v>
      </c>
      <c r="C62" s="60">
        <f>+C22</f>
        <v>44610</v>
      </c>
      <c r="D62" s="60">
        <f>+D22</f>
        <v>42965</v>
      </c>
      <c r="E62" s="60">
        <f>+E22</f>
        <v>41876</v>
      </c>
      <c r="F62" s="60">
        <v>40482</v>
      </c>
      <c r="G62" s="60">
        <v>38202</v>
      </c>
      <c r="H62" s="60">
        <v>36797</v>
      </c>
      <c r="I62" s="60">
        <v>35767</v>
      </c>
      <c r="J62" s="60">
        <v>34871</v>
      </c>
      <c r="K62" s="60">
        <v>33816</v>
      </c>
      <c r="L62" s="60">
        <v>33303</v>
      </c>
      <c r="M62" s="60">
        <v>31917</v>
      </c>
    </row>
    <row r="63" spans="1:13" ht="15.75" thickBot="1">
      <c r="A63" s="31" t="s">
        <v>72</v>
      </c>
      <c r="B63" s="42">
        <f>(B62+C62+D62+E62)/4</f>
        <v>43469.75</v>
      </c>
      <c r="C63" s="42">
        <f>(C62+D62+E62)/3</f>
        <v>43150.333333333336</v>
      </c>
      <c r="D63" s="42">
        <f>AVERAGE(D62:E62)</f>
        <v>42420.5</v>
      </c>
      <c r="E63" s="42">
        <f>AVERAGE(E62:I62)</f>
        <v>38624.800000000003</v>
      </c>
      <c r="F63" s="42">
        <v>37812</v>
      </c>
      <c r="G63" s="42">
        <v>36922</v>
      </c>
      <c r="H63" s="42">
        <f>AVERAGE(H62:I62)</f>
        <v>36282</v>
      </c>
      <c r="I63" s="42">
        <f>AVERAGE(I62:M62)</f>
        <v>33934.800000000003</v>
      </c>
      <c r="J63" s="42">
        <f>AVERAGE(J62:M62)</f>
        <v>33476.75</v>
      </c>
      <c r="K63" s="42">
        <f>AVERAGE(K62:M62)</f>
        <v>33012</v>
      </c>
      <c r="L63" s="42">
        <f>AVERAGE(L62:M62)</f>
        <v>32610</v>
      </c>
      <c r="M63" s="42">
        <v>30315</v>
      </c>
    </row>
    <row r="64" spans="1:13">
      <c r="B64" s="22"/>
      <c r="C64" s="22"/>
    </row>
    <row r="65" spans="1:13">
      <c r="B65" s="60"/>
      <c r="C65" s="60"/>
      <c r="D65" s="54"/>
      <c r="E65" s="54"/>
      <c r="F65" s="54"/>
      <c r="G65" s="54"/>
    </row>
    <row r="66" spans="1:13">
      <c r="A66" t="s">
        <v>73</v>
      </c>
      <c r="B66" s="63">
        <f>+B48</f>
        <v>35492</v>
      </c>
      <c r="C66" s="63">
        <f>+C48</f>
        <v>34964</v>
      </c>
      <c r="D66" s="63">
        <f>+D48</f>
        <v>33903</v>
      </c>
      <c r="E66" s="24">
        <f>+E48</f>
        <v>32583</v>
      </c>
      <c r="F66" s="24">
        <v>31207</v>
      </c>
      <c r="G66" s="24">
        <v>30843</v>
      </c>
      <c r="H66" s="24">
        <v>29474</v>
      </c>
      <c r="I66" s="24">
        <v>28222</v>
      </c>
      <c r="J66" s="24">
        <v>27519</v>
      </c>
      <c r="K66" s="24">
        <v>26406</v>
      </c>
      <c r="L66" s="24">
        <v>25792</v>
      </c>
      <c r="M66" s="24">
        <v>25600</v>
      </c>
    </row>
    <row r="67" spans="1:13">
      <c r="A67" t="s">
        <v>74</v>
      </c>
      <c r="B67" s="63">
        <v>16956</v>
      </c>
      <c r="C67" s="63">
        <v>16705</v>
      </c>
      <c r="D67" s="63">
        <v>16259</v>
      </c>
      <c r="E67" s="24">
        <v>15991</v>
      </c>
      <c r="F67" s="24">
        <v>15299</v>
      </c>
      <c r="G67" s="24">
        <v>14970</v>
      </c>
      <c r="H67" s="24">
        <v>14802</v>
      </c>
      <c r="I67" s="24">
        <v>14489</v>
      </c>
      <c r="J67" s="24">
        <v>14116</v>
      </c>
      <c r="K67" s="24">
        <v>13764</v>
      </c>
      <c r="L67" s="24">
        <v>13873</v>
      </c>
      <c r="M67" s="24">
        <v>12892</v>
      </c>
    </row>
    <row r="68" spans="1:13">
      <c r="A68" t="s">
        <v>75</v>
      </c>
      <c r="B68" s="63">
        <v>3107</v>
      </c>
      <c r="C68" s="63">
        <v>2873</v>
      </c>
      <c r="D68" s="63">
        <v>3231</v>
      </c>
      <c r="E68" s="24">
        <v>3271</v>
      </c>
      <c r="F68" s="24">
        <v>3412</v>
      </c>
      <c r="G68" s="24">
        <v>3629</v>
      </c>
      <c r="H68" s="24">
        <v>3926</v>
      </c>
      <c r="I68" s="24">
        <v>4008</v>
      </c>
      <c r="J68" s="24">
        <v>4123</v>
      </c>
      <c r="K68" s="24">
        <v>4226</v>
      </c>
      <c r="L68" s="24">
        <v>4058</v>
      </c>
      <c r="M68" s="24">
        <v>4086</v>
      </c>
    </row>
    <row r="69" spans="1:13" ht="15.75" thickBot="1">
      <c r="A69" s="31" t="s">
        <v>23</v>
      </c>
      <c r="B69" s="42">
        <f>SUM(B66:B68)</f>
        <v>55555</v>
      </c>
      <c r="C69" s="42">
        <f>SUM(C66:C68)</f>
        <v>54542</v>
      </c>
      <c r="D69" s="42">
        <f>SUM(D66:D68)</f>
        <v>53393</v>
      </c>
      <c r="E69" s="42">
        <f>SUM(E66:E68)</f>
        <v>51845</v>
      </c>
      <c r="F69" s="42">
        <v>49918</v>
      </c>
      <c r="G69" s="42">
        <v>49442</v>
      </c>
      <c r="H69" s="42">
        <v>48202</v>
      </c>
      <c r="I69" s="42">
        <f t="shared" ref="I69:M69" si="25">SUM(I66:I68)</f>
        <v>46719</v>
      </c>
      <c r="J69" s="42">
        <f t="shared" si="25"/>
        <v>45758</v>
      </c>
      <c r="K69" s="42">
        <f t="shared" si="25"/>
        <v>44396</v>
      </c>
      <c r="L69" s="42">
        <f t="shared" si="25"/>
        <v>43723</v>
      </c>
      <c r="M69" s="42">
        <f t="shared" si="25"/>
        <v>42578</v>
      </c>
    </row>
    <row r="70" spans="1:13">
      <c r="B70" s="22"/>
      <c r="C70" s="22"/>
    </row>
    <row r="71" spans="1:13">
      <c r="B71" s="22"/>
      <c r="C71" s="22"/>
    </row>
    <row r="72" spans="1:13" ht="30">
      <c r="A72" s="10" t="s">
        <v>76</v>
      </c>
      <c r="B72" s="60">
        <f>+B69</f>
        <v>55555</v>
      </c>
      <c r="C72" s="60">
        <f>+C69</f>
        <v>54542</v>
      </c>
      <c r="D72" s="60">
        <f>+D69</f>
        <v>53393</v>
      </c>
      <c r="E72" s="60">
        <f>+E69</f>
        <v>51845</v>
      </c>
      <c r="F72" s="60">
        <v>49918</v>
      </c>
      <c r="G72" s="60">
        <v>49442</v>
      </c>
      <c r="H72" s="60">
        <v>48202</v>
      </c>
      <c r="I72" s="60">
        <f t="shared" ref="I72:M72" si="26">+I69</f>
        <v>46719</v>
      </c>
      <c r="J72" s="60">
        <f t="shared" si="26"/>
        <v>45758</v>
      </c>
      <c r="K72" s="60">
        <f t="shared" si="26"/>
        <v>44396</v>
      </c>
      <c r="L72" s="60">
        <f t="shared" si="26"/>
        <v>43723</v>
      </c>
      <c r="M72" s="60">
        <f t="shared" si="26"/>
        <v>42578</v>
      </c>
    </row>
    <row r="73" spans="1:13" ht="30">
      <c r="A73" s="12" t="s">
        <v>77</v>
      </c>
      <c r="B73" s="58">
        <f>+F72</f>
        <v>49918</v>
      </c>
      <c r="C73" s="58">
        <f>+G72</f>
        <v>49442</v>
      </c>
      <c r="D73" s="58">
        <f>+H72</f>
        <v>48202</v>
      </c>
      <c r="E73" s="58">
        <f>+I72</f>
        <v>46719</v>
      </c>
      <c r="F73" s="58">
        <v>45758</v>
      </c>
      <c r="G73" s="58">
        <v>44396</v>
      </c>
      <c r="H73" s="58">
        <v>43723</v>
      </c>
      <c r="I73" s="58">
        <f>M72</f>
        <v>42578</v>
      </c>
      <c r="J73" s="58">
        <v>42323</v>
      </c>
      <c r="K73" s="58">
        <v>39860</v>
      </c>
      <c r="L73" s="58">
        <v>38508</v>
      </c>
      <c r="M73" s="58">
        <v>38851</v>
      </c>
    </row>
    <row r="74" spans="1:13">
      <c r="A74" t="s">
        <v>78</v>
      </c>
      <c r="B74" s="60">
        <f>B72-B73</f>
        <v>5637</v>
      </c>
      <c r="C74" s="60">
        <f>C72-C73</f>
        <v>5100</v>
      </c>
      <c r="D74" s="60">
        <f>D72-D73</f>
        <v>5191</v>
      </c>
      <c r="E74" s="60">
        <f>E72-E73</f>
        <v>5126</v>
      </c>
      <c r="F74" s="60">
        <v>4160</v>
      </c>
      <c r="G74" s="60">
        <v>5046</v>
      </c>
      <c r="H74" s="60">
        <v>4479</v>
      </c>
      <c r="I74" s="60">
        <f t="shared" ref="I74:M74" si="27">I72-I73</f>
        <v>4141</v>
      </c>
      <c r="J74" s="60">
        <f t="shared" si="27"/>
        <v>3435</v>
      </c>
      <c r="K74" s="60">
        <f t="shared" si="27"/>
        <v>4536</v>
      </c>
      <c r="L74" s="60">
        <f t="shared" si="27"/>
        <v>5215</v>
      </c>
      <c r="M74" s="60">
        <f t="shared" si="27"/>
        <v>3727</v>
      </c>
    </row>
    <row r="75" spans="1:13" ht="30">
      <c r="A75" s="12" t="s">
        <v>79</v>
      </c>
      <c r="B75" s="58">
        <f>B73</f>
        <v>49918</v>
      </c>
      <c r="C75" s="58">
        <f>C73</f>
        <v>49442</v>
      </c>
      <c r="D75" s="58">
        <f>D73</f>
        <v>48202</v>
      </c>
      <c r="E75" s="58">
        <f>E73</f>
        <v>46719</v>
      </c>
      <c r="F75" s="58">
        <v>45758</v>
      </c>
      <c r="G75" s="58">
        <v>44396</v>
      </c>
      <c r="H75" s="58">
        <v>43723</v>
      </c>
      <c r="I75" s="58">
        <f t="shared" ref="I75:M75" si="28">I73</f>
        <v>42578</v>
      </c>
      <c r="J75" s="58">
        <f t="shared" si="28"/>
        <v>42323</v>
      </c>
      <c r="K75" s="58">
        <f t="shared" si="28"/>
        <v>39860</v>
      </c>
      <c r="L75" s="58">
        <f t="shared" si="28"/>
        <v>38508</v>
      </c>
      <c r="M75" s="58">
        <f t="shared" si="28"/>
        <v>38851</v>
      </c>
    </row>
    <row r="76" spans="1:13" ht="15.75" thickBot="1">
      <c r="A76" s="32" t="s">
        <v>25</v>
      </c>
      <c r="B76" s="19">
        <f>B74/B75</f>
        <v>0.11292519732361073</v>
      </c>
      <c r="C76" s="19">
        <f>C74/C75</f>
        <v>0.1031511670239877</v>
      </c>
      <c r="D76" s="19">
        <f>D74/D75</f>
        <v>0.10769262686195594</v>
      </c>
      <c r="E76" s="19">
        <f>E74/E75</f>
        <v>0.10971981420835206</v>
      </c>
      <c r="F76" s="19">
        <v>9.0913064382184536E-2</v>
      </c>
      <c r="G76" s="19">
        <v>0.11365888818812506</v>
      </c>
      <c r="H76" s="19">
        <v>0.10244036319557212</v>
      </c>
      <c r="I76" s="19">
        <f t="shared" ref="I76:L76" si="29">I74/I75</f>
        <v>9.7256799286016257E-2</v>
      </c>
      <c r="J76" s="19">
        <f t="shared" si="29"/>
        <v>8.1161543368853811E-2</v>
      </c>
      <c r="K76" s="19">
        <f t="shared" si="29"/>
        <v>0.11379829402910185</v>
      </c>
      <c r="L76" s="19">
        <f t="shared" si="29"/>
        <v>0.13542640490287733</v>
      </c>
      <c r="M76" s="19">
        <f>M74/M75+0.001</f>
        <v>9.693060667679082E-2</v>
      </c>
    </row>
    <row r="77" spans="1:13">
      <c r="B77" s="22"/>
      <c r="C77" s="22"/>
    </row>
    <row r="78" spans="1:13">
      <c r="B78" s="22"/>
      <c r="C78" s="22"/>
    </row>
    <row r="79" spans="1:13" ht="30">
      <c r="A79" s="10" t="s">
        <v>76</v>
      </c>
      <c r="B79" s="60">
        <f>+B72</f>
        <v>55555</v>
      </c>
      <c r="C79" s="60">
        <f>+C72</f>
        <v>54542</v>
      </c>
      <c r="D79" s="60">
        <f>+D72</f>
        <v>53393</v>
      </c>
      <c r="E79" s="60">
        <f>+E72</f>
        <v>51845</v>
      </c>
      <c r="F79" s="60">
        <v>49918</v>
      </c>
      <c r="G79" s="60">
        <v>49442</v>
      </c>
      <c r="H79" s="60">
        <v>48202</v>
      </c>
      <c r="I79" s="60">
        <f>+I72</f>
        <v>46719</v>
      </c>
      <c r="J79" s="60">
        <f t="shared" ref="J79:M79" si="30">+J72</f>
        <v>45758</v>
      </c>
      <c r="K79" s="60">
        <f t="shared" si="30"/>
        <v>44396</v>
      </c>
      <c r="L79" s="60">
        <f t="shared" si="30"/>
        <v>43723</v>
      </c>
      <c r="M79" s="60">
        <f t="shared" si="30"/>
        <v>42578</v>
      </c>
    </row>
    <row r="80" spans="1:13">
      <c r="A80" s="12" t="s">
        <v>80</v>
      </c>
      <c r="B80" s="58">
        <f>+B48-B44</f>
        <v>135</v>
      </c>
      <c r="C80" s="58">
        <f>+C48-C44</f>
        <v>131</v>
      </c>
      <c r="D80" s="58">
        <f>+D48-D44</f>
        <v>126</v>
      </c>
      <c r="E80" s="58">
        <f>+E48-E44</f>
        <v>111</v>
      </c>
      <c r="F80" s="58">
        <v>115</v>
      </c>
      <c r="G80" s="58">
        <f t="shared" ref="G80:M80" si="31">+G48-G44</f>
        <v>115</v>
      </c>
      <c r="H80" s="58">
        <f t="shared" si="31"/>
        <v>123</v>
      </c>
      <c r="I80" s="58">
        <f t="shared" si="31"/>
        <v>153</v>
      </c>
      <c r="J80" s="58">
        <f t="shared" si="31"/>
        <v>159</v>
      </c>
      <c r="K80" s="58">
        <f t="shared" si="31"/>
        <v>188</v>
      </c>
      <c r="L80" s="58">
        <f t="shared" si="31"/>
        <v>180</v>
      </c>
      <c r="M80" s="58">
        <f t="shared" si="31"/>
        <v>139</v>
      </c>
    </row>
    <row r="81" spans="1:13" ht="30">
      <c r="A81" s="10" t="s">
        <v>81</v>
      </c>
      <c r="B81" s="60">
        <f>+B79-B80</f>
        <v>55420</v>
      </c>
      <c r="C81" s="60">
        <f>+C79-C80</f>
        <v>54411</v>
      </c>
      <c r="D81" s="60">
        <f>+D79-D80</f>
        <v>53267</v>
      </c>
      <c r="E81" s="60">
        <f>+E79-E80</f>
        <v>51734</v>
      </c>
      <c r="F81" s="60">
        <v>49803</v>
      </c>
      <c r="G81" s="60">
        <f t="shared" ref="G81:M81" si="32">+G79-G80</f>
        <v>49327</v>
      </c>
      <c r="H81" s="60">
        <f t="shared" si="32"/>
        <v>48079</v>
      </c>
      <c r="I81" s="60">
        <f t="shared" si="32"/>
        <v>46566</v>
      </c>
      <c r="J81" s="60">
        <f t="shared" si="32"/>
        <v>45599</v>
      </c>
      <c r="K81" s="60">
        <f t="shared" si="32"/>
        <v>44208</v>
      </c>
      <c r="L81" s="60">
        <f t="shared" si="32"/>
        <v>43543</v>
      </c>
      <c r="M81" s="60">
        <f t="shared" si="32"/>
        <v>42439</v>
      </c>
    </row>
    <row r="82" spans="1:13">
      <c r="A82" s="12" t="s">
        <v>82</v>
      </c>
      <c r="B82" s="58">
        <f>+B55</f>
        <v>24769</v>
      </c>
      <c r="C82" s="58">
        <f>+C55</f>
        <v>24912</v>
      </c>
      <c r="D82" s="58">
        <f>+D55</f>
        <v>23223</v>
      </c>
      <c r="E82" s="58">
        <f>+E55</f>
        <v>22287</v>
      </c>
      <c r="F82" s="58">
        <v>21233</v>
      </c>
      <c r="G82" s="58">
        <v>19140</v>
      </c>
      <c r="H82" s="58">
        <v>18122</v>
      </c>
      <c r="I82" s="58">
        <f t="shared" ref="I82:M82" si="33">+I55</f>
        <v>17627</v>
      </c>
      <c r="J82" s="58">
        <f t="shared" si="33"/>
        <v>17334</v>
      </c>
      <c r="K82" s="58">
        <f t="shared" si="33"/>
        <v>16810</v>
      </c>
      <c r="L82" s="58">
        <f t="shared" si="33"/>
        <v>15953</v>
      </c>
      <c r="M82" s="58">
        <f t="shared" si="33"/>
        <v>15360</v>
      </c>
    </row>
    <row r="83" spans="1:13" ht="30.75" thickBot="1">
      <c r="A83" s="15" t="s">
        <v>83</v>
      </c>
      <c r="B83" s="19">
        <f>+B82/B81</f>
        <v>0.44693251533742329</v>
      </c>
      <c r="C83" s="19">
        <f>+C82/C81</f>
        <v>0.45784859679109002</v>
      </c>
      <c r="D83" s="19">
        <f>+D82/D81</f>
        <v>0.43597349203071317</v>
      </c>
      <c r="E83" s="19">
        <f>+E82/E81</f>
        <v>0.43079986082653576</v>
      </c>
      <c r="F83" s="19">
        <v>0.42633977872818907</v>
      </c>
      <c r="G83" s="19">
        <f t="shared" ref="G83:M83" si="34">+G82/G81</f>
        <v>0.38802278670910456</v>
      </c>
      <c r="H83" s="19">
        <f t="shared" si="34"/>
        <v>0.37692131699910564</v>
      </c>
      <c r="I83" s="19">
        <f t="shared" si="34"/>
        <v>0.37853798909075292</v>
      </c>
      <c r="J83" s="19">
        <f t="shared" si="34"/>
        <v>0.38013991534902081</v>
      </c>
      <c r="K83" s="19">
        <f t="shared" si="34"/>
        <v>0.38024791892870069</v>
      </c>
      <c r="L83" s="19">
        <f t="shared" si="34"/>
        <v>0.36637346990331399</v>
      </c>
      <c r="M83" s="19">
        <f t="shared" si="34"/>
        <v>0.36193124248921982</v>
      </c>
    </row>
    <row r="84" spans="1:13">
      <c r="B84" s="22"/>
      <c r="C84" s="22"/>
    </row>
    <row r="85" spans="1:13">
      <c r="B85" s="22"/>
      <c r="C85" s="22"/>
    </row>
    <row r="86" spans="1:13">
      <c r="A86" t="s">
        <v>84</v>
      </c>
      <c r="B86" s="63">
        <v>24</v>
      </c>
      <c r="C86" s="63">
        <v>15</v>
      </c>
      <c r="D86" s="63">
        <v>16</v>
      </c>
      <c r="E86" s="24">
        <v>-18</v>
      </c>
      <c r="F86" s="24">
        <v>-22</v>
      </c>
      <c r="G86" s="24">
        <v>-21</v>
      </c>
      <c r="H86" s="24">
        <v>-12</v>
      </c>
      <c r="I86" s="24">
        <v>75</v>
      </c>
      <c r="J86" s="24">
        <f>+K86+14</f>
        <v>75</v>
      </c>
      <c r="K86" s="24">
        <f>42+19</f>
        <v>61</v>
      </c>
      <c r="L86" s="24">
        <v>42</v>
      </c>
      <c r="M86" s="24">
        <v>37</v>
      </c>
    </row>
    <row r="87" spans="1:13">
      <c r="B87" s="63"/>
      <c r="C87" s="63"/>
      <c r="D87" s="63"/>
      <c r="E87" s="24"/>
      <c r="F87" s="24"/>
      <c r="G87" s="24"/>
      <c r="H87" s="24"/>
      <c r="I87" s="24"/>
      <c r="J87" s="25"/>
      <c r="K87" s="25"/>
      <c r="L87" s="24"/>
      <c r="M87" s="24"/>
    </row>
    <row r="88" spans="1:13">
      <c r="A88" t="s">
        <v>85</v>
      </c>
      <c r="B88" s="63">
        <f>B86/273*365</f>
        <v>32.087912087912088</v>
      </c>
      <c r="C88" s="63">
        <f>C86/181*365</f>
        <v>30.248618784530386</v>
      </c>
      <c r="D88" s="63">
        <f>D86/90*365</f>
        <v>64.888888888888886</v>
      </c>
      <c r="E88" s="24">
        <f>E86/4*4</f>
        <v>-18</v>
      </c>
      <c r="F88" s="24">
        <v>-29.333333333333332</v>
      </c>
      <c r="G88" s="24">
        <v>-42</v>
      </c>
      <c r="H88" s="24">
        <v>-48</v>
      </c>
      <c r="I88" s="24">
        <f>I86/4*4</f>
        <v>75</v>
      </c>
      <c r="J88" s="24">
        <f>J86/3*4</f>
        <v>100</v>
      </c>
      <c r="K88" s="24">
        <f>K86/2*4</f>
        <v>122</v>
      </c>
      <c r="L88" s="24">
        <f>L86*4</f>
        <v>168</v>
      </c>
      <c r="M88" s="24">
        <f>M86/4*4</f>
        <v>37</v>
      </c>
    </row>
    <row r="89" spans="1:13">
      <c r="A89" s="12" t="s">
        <v>86</v>
      </c>
      <c r="B89" s="63">
        <f>(B66+C66+D66+E66)/4</f>
        <v>34235.5</v>
      </c>
      <c r="C89" s="63">
        <f>(C66+D66+E66)/3</f>
        <v>33816.666666666664</v>
      </c>
      <c r="D89" s="63">
        <f>AVERAGE(D66:E66)</f>
        <v>33243</v>
      </c>
      <c r="E89" s="59">
        <f>AVERAGE(E66:I66)</f>
        <v>30465.8</v>
      </c>
      <c r="F89" s="59">
        <v>29936.5</v>
      </c>
      <c r="G89" s="59">
        <v>29513</v>
      </c>
      <c r="H89" s="56">
        <v>28848</v>
      </c>
      <c r="I89" s="56">
        <f>(I66+K66+J66+L66+M66)/5</f>
        <v>26707.8</v>
      </c>
      <c r="J89" s="56">
        <f>(J66+L66+K66+M66)/4</f>
        <v>26329.25</v>
      </c>
      <c r="K89" s="56">
        <f>(K66+M66+L66)/3</f>
        <v>25932.666666666668</v>
      </c>
      <c r="L89" s="56">
        <f>(L66+M66)/2</f>
        <v>25696</v>
      </c>
      <c r="M89" s="56">
        <v>23798</v>
      </c>
    </row>
    <row r="90" spans="1:13" ht="15.75" thickBot="1">
      <c r="A90" s="32" t="s">
        <v>87</v>
      </c>
      <c r="B90" s="21">
        <f>B88/B89</f>
        <v>9.3727014613229217E-4</v>
      </c>
      <c r="C90" s="21">
        <f>C88/C89</f>
        <v>8.944884805676803E-4</v>
      </c>
      <c r="D90" s="21">
        <f>D88/D89</f>
        <v>1.9519564686968349E-3</v>
      </c>
      <c r="E90" s="21">
        <f t="shared" ref="E90" si="35">E88/E89</f>
        <v>-5.9082643488764448E-4</v>
      </c>
      <c r="F90" s="21">
        <v>-9.798517974156408E-4</v>
      </c>
      <c r="G90" s="21">
        <v>-1.4231016840036595E-3</v>
      </c>
      <c r="H90" s="21">
        <v>-1.6638935108153079E-3</v>
      </c>
      <c r="I90" s="21">
        <f>I88/I89</f>
        <v>2.8081684002426257E-3</v>
      </c>
      <c r="J90" s="21">
        <f t="shared" ref="J90:L90" si="36">J88/J89</f>
        <v>3.7980572936942756E-3</v>
      </c>
      <c r="K90" s="21">
        <f t="shared" si="36"/>
        <v>4.7044911180235995E-3</v>
      </c>
      <c r="L90" s="21">
        <f t="shared" si="36"/>
        <v>6.5379825653798258E-3</v>
      </c>
      <c r="M90" s="21">
        <f>M88/M89</f>
        <v>1.5547525002101016E-3</v>
      </c>
    </row>
    <row r="91" spans="1:13">
      <c r="B91" s="22"/>
      <c r="C91" s="22"/>
    </row>
    <row r="92" spans="1:13">
      <c r="B92" s="22"/>
      <c r="C92" s="22"/>
    </row>
    <row r="93" spans="1:13">
      <c r="A93" t="s">
        <v>88</v>
      </c>
      <c r="B93" s="63">
        <v>151</v>
      </c>
      <c r="C93" s="63">
        <v>111</v>
      </c>
      <c r="D93" s="63">
        <v>106</v>
      </c>
      <c r="E93" s="24">
        <v>120</v>
      </c>
      <c r="F93" s="24">
        <v>96</v>
      </c>
      <c r="G93" s="24">
        <v>113</v>
      </c>
      <c r="H93" s="24">
        <v>130</v>
      </c>
      <c r="I93" s="24">
        <v>125</v>
      </c>
      <c r="J93" s="57">
        <v>111</v>
      </c>
      <c r="K93" s="24">
        <v>125</v>
      </c>
      <c r="L93" s="24">
        <v>114</v>
      </c>
      <c r="M93" s="24">
        <v>134</v>
      </c>
    </row>
    <row r="94" spans="1:13">
      <c r="A94" s="12" t="s">
        <v>89</v>
      </c>
      <c r="B94" s="58">
        <v>26</v>
      </c>
      <c r="C94" s="58">
        <v>28</v>
      </c>
      <c r="D94" s="58">
        <v>28</v>
      </c>
      <c r="E94" s="58">
        <v>29</v>
      </c>
      <c r="F94" s="58">
        <v>29</v>
      </c>
      <c r="G94" s="58">
        <v>29</v>
      </c>
      <c r="H94" s="58">
        <v>29</v>
      </c>
      <c r="I94" s="58">
        <v>109</v>
      </c>
      <c r="J94" s="58">
        <v>109</v>
      </c>
      <c r="K94" s="58">
        <v>109</v>
      </c>
      <c r="L94" s="58">
        <v>109</v>
      </c>
      <c r="M94" s="58">
        <v>109</v>
      </c>
    </row>
    <row r="95" spans="1:13">
      <c r="A95" t="s">
        <v>90</v>
      </c>
      <c r="B95" s="63">
        <f>+B93+B94</f>
        <v>177</v>
      </c>
      <c r="C95" s="63">
        <f>+C93+C94</f>
        <v>139</v>
      </c>
      <c r="D95" s="63">
        <f>+D93+D94</f>
        <v>134</v>
      </c>
      <c r="E95" s="24">
        <f t="shared" ref="E95:M95" si="37">+E93+E94</f>
        <v>149</v>
      </c>
      <c r="F95" s="24">
        <v>125</v>
      </c>
      <c r="G95" s="24">
        <v>142</v>
      </c>
      <c r="H95" s="24">
        <f t="shared" si="37"/>
        <v>159</v>
      </c>
      <c r="I95" s="24">
        <f t="shared" si="37"/>
        <v>234</v>
      </c>
      <c r="J95" s="24">
        <f t="shared" si="37"/>
        <v>220</v>
      </c>
      <c r="K95" s="24">
        <f t="shared" si="37"/>
        <v>234</v>
      </c>
      <c r="L95" s="24">
        <f t="shared" si="37"/>
        <v>223</v>
      </c>
      <c r="M95" s="24">
        <f t="shared" si="37"/>
        <v>243</v>
      </c>
    </row>
    <row r="96" spans="1:13">
      <c r="A96" s="30" t="s">
        <v>91</v>
      </c>
      <c r="B96" s="11">
        <f>+B48</f>
        <v>35492</v>
      </c>
      <c r="C96" s="11">
        <f>+C48</f>
        <v>34964</v>
      </c>
      <c r="D96" s="11">
        <f>+D48</f>
        <v>33903</v>
      </c>
      <c r="E96" s="56">
        <f t="shared" ref="E96:M96" si="38">+E48</f>
        <v>32583</v>
      </c>
      <c r="F96" s="56">
        <v>31207</v>
      </c>
      <c r="G96" s="56">
        <v>30843</v>
      </c>
      <c r="H96" s="56">
        <v>29474</v>
      </c>
      <c r="I96" s="56">
        <f t="shared" si="38"/>
        <v>28222</v>
      </c>
      <c r="J96" s="56">
        <f t="shared" si="38"/>
        <v>27519</v>
      </c>
      <c r="K96" s="56">
        <f t="shared" si="38"/>
        <v>26406</v>
      </c>
      <c r="L96" s="56">
        <f t="shared" si="38"/>
        <v>25792</v>
      </c>
      <c r="M96" s="56">
        <f t="shared" si="38"/>
        <v>25642</v>
      </c>
    </row>
    <row r="97" spans="1:14" ht="15.75" thickBot="1">
      <c r="A97" s="14" t="s">
        <v>92</v>
      </c>
      <c r="B97" s="20">
        <f>B95/B96</f>
        <v>4.9870393328073932E-3</v>
      </c>
      <c r="C97" s="20">
        <f>C95/C96</f>
        <v>3.9755176753231893E-3</v>
      </c>
      <c r="D97" s="20">
        <f>D95/D96</f>
        <v>3.9524525853169333E-3</v>
      </c>
      <c r="E97" s="20">
        <f t="shared" ref="E97:M97" si="39">E95/E96</f>
        <v>4.5729368075376727E-3</v>
      </c>
      <c r="F97" s="20">
        <v>4.0055115839395007E-3</v>
      </c>
      <c r="G97" s="20">
        <v>4.6039620011023574E-3</v>
      </c>
      <c r="H97" s="20">
        <f t="shared" si="39"/>
        <v>5.3945850580172355E-3</v>
      </c>
      <c r="I97" s="20">
        <f t="shared" si="39"/>
        <v>8.2914038693218065E-3</v>
      </c>
      <c r="J97" s="20">
        <f t="shared" si="39"/>
        <v>7.9944765434790503E-3</v>
      </c>
      <c r="K97" s="20">
        <f t="shared" si="39"/>
        <v>8.8616223585548746E-3</v>
      </c>
      <c r="L97" s="20">
        <f t="shared" si="39"/>
        <v>8.6460918114143921E-3</v>
      </c>
      <c r="M97" s="20">
        <f t="shared" si="39"/>
        <v>9.4766398876842683E-3</v>
      </c>
    </row>
    <row r="98" spans="1:14">
      <c r="B98" s="22"/>
      <c r="C98" s="22"/>
    </row>
    <row r="99" spans="1:14">
      <c r="B99" s="22"/>
      <c r="C99" s="22"/>
    </row>
    <row r="100" spans="1:14">
      <c r="A100" t="s">
        <v>84</v>
      </c>
      <c r="B100" s="63">
        <f>+B86</f>
        <v>24</v>
      </c>
      <c r="C100" s="63">
        <f>+C86</f>
        <v>15</v>
      </c>
      <c r="D100" s="63">
        <f>+D86</f>
        <v>16</v>
      </c>
      <c r="E100" s="24">
        <f t="shared" ref="E100:M100" si="40">+E86</f>
        <v>-18</v>
      </c>
      <c r="F100" s="24">
        <v>-22</v>
      </c>
      <c r="G100" s="24">
        <v>-21</v>
      </c>
      <c r="H100" s="24">
        <v>-12</v>
      </c>
      <c r="I100" s="24">
        <f t="shared" si="40"/>
        <v>75</v>
      </c>
      <c r="J100" s="24">
        <f t="shared" si="40"/>
        <v>75</v>
      </c>
      <c r="K100" s="24">
        <f t="shared" si="40"/>
        <v>61</v>
      </c>
      <c r="L100" s="24">
        <f t="shared" si="40"/>
        <v>42</v>
      </c>
      <c r="M100" s="24">
        <f t="shared" si="40"/>
        <v>37</v>
      </c>
    </row>
    <row r="101" spans="1:14">
      <c r="B101" s="63"/>
      <c r="C101" s="63"/>
      <c r="D101" s="63"/>
      <c r="E101" s="24"/>
      <c r="F101" s="24"/>
      <c r="G101" s="24"/>
      <c r="H101" s="24"/>
      <c r="I101" s="24"/>
      <c r="J101" s="25"/>
      <c r="K101" s="25"/>
      <c r="L101" s="24"/>
      <c r="M101" s="24"/>
    </row>
    <row r="102" spans="1:14">
      <c r="A102" t="s">
        <v>85</v>
      </c>
      <c r="B102" s="63">
        <f>B100/273*365</f>
        <v>32.087912087912088</v>
      </c>
      <c r="C102" s="63">
        <f>C100/181*365</f>
        <v>30.248618784530386</v>
      </c>
      <c r="D102" s="63">
        <f>D100/90*365</f>
        <v>64.888888888888886</v>
      </c>
      <c r="E102" s="24">
        <f>E100/4*4</f>
        <v>-18</v>
      </c>
      <c r="F102" s="24">
        <v>-29.333333333333332</v>
      </c>
      <c r="G102" s="24">
        <v>-42</v>
      </c>
      <c r="H102" s="24">
        <v>-48</v>
      </c>
      <c r="I102" s="24">
        <f>I100/4*4</f>
        <v>75</v>
      </c>
      <c r="J102" s="24">
        <f>J100/3*4</f>
        <v>100</v>
      </c>
      <c r="K102" s="24">
        <f>K100/2*4</f>
        <v>122</v>
      </c>
      <c r="L102" s="24">
        <f>L100*4</f>
        <v>168</v>
      </c>
      <c r="M102" s="24">
        <f>M100/4*4</f>
        <v>37</v>
      </c>
    </row>
    <row r="103" spans="1:14">
      <c r="A103" s="12" t="s">
        <v>93</v>
      </c>
      <c r="B103" s="63">
        <f>(B79+C79+D79+E79)/4</f>
        <v>53833.75</v>
      </c>
      <c r="C103" s="63">
        <f>(C79+D79+E79)/3</f>
        <v>53260</v>
      </c>
      <c r="D103" s="63">
        <f>AVERAGE(D79:E79)</f>
        <v>52619</v>
      </c>
      <c r="E103" s="59">
        <f>AVERAGE(E79:I79)</f>
        <v>49225.2</v>
      </c>
      <c r="F103" s="59">
        <v>48570.25</v>
      </c>
      <c r="G103" s="59">
        <v>48121</v>
      </c>
      <c r="H103" s="56">
        <v>47460.5</v>
      </c>
      <c r="I103" s="56">
        <f>(I72+K72+J72+L72+M72)/5</f>
        <v>44634.8</v>
      </c>
      <c r="J103" s="56">
        <f>(J72+L72+K72+M72)/4</f>
        <v>44113.75</v>
      </c>
      <c r="K103" s="56">
        <f>(K72+M72+L72)/3</f>
        <v>43565.666666666664</v>
      </c>
      <c r="L103" s="56">
        <f>(L72+M72)/2</f>
        <v>43150.5</v>
      </c>
      <c r="M103" s="56">
        <v>40432</v>
      </c>
    </row>
    <row r="104" spans="1:14" s="3" customFormat="1" ht="30.75" thickBot="1">
      <c r="A104" s="15" t="s">
        <v>94</v>
      </c>
      <c r="B104" s="21">
        <f>B102/B103</f>
        <v>5.9605567302876148E-4</v>
      </c>
      <c r="C104" s="21">
        <f>C102/C103</f>
        <v>5.6794252317931627E-4</v>
      </c>
      <c r="D104" s="21">
        <f>D102/D103</f>
        <v>1.2331836197740148E-3</v>
      </c>
      <c r="E104" s="21">
        <f t="shared" ref="E104:H104" si="41">E102/E103</f>
        <v>-3.6566636600765464E-4</v>
      </c>
      <c r="F104" s="21">
        <v>-6.0393622296227279E-4</v>
      </c>
      <c r="G104" s="21">
        <v>-8.7279981712765737E-4</v>
      </c>
      <c r="H104" s="21">
        <f t="shared" si="41"/>
        <v>-1.0113673475837801E-3</v>
      </c>
      <c r="I104" s="21">
        <f t="shared" ref="I104" si="42">I102/I103</f>
        <v>1.6803032611325691E-3</v>
      </c>
      <c r="J104" s="21">
        <f t="shared" ref="J104" si="43">J102/J103</f>
        <v>2.2668669065767475E-3</v>
      </c>
      <c r="K104" s="21">
        <f t="shared" ref="K104:M104" si="44">K102/K103</f>
        <v>2.800370322195613E-3</v>
      </c>
      <c r="L104" s="21">
        <f t="shared" si="44"/>
        <v>3.8933500191191297E-3</v>
      </c>
      <c r="M104" s="21">
        <f t="shared" si="44"/>
        <v>9.1511673921646224E-4</v>
      </c>
      <c r="N104"/>
    </row>
    <row r="105" spans="1:14">
      <c r="B105" s="22"/>
      <c r="C105" s="22"/>
    </row>
    <row r="106" spans="1:14">
      <c r="B106" s="22"/>
      <c r="C106" s="22"/>
    </row>
    <row r="107" spans="1:14">
      <c r="A107" t="s">
        <v>88</v>
      </c>
      <c r="B107" s="63">
        <f t="shared" ref="B107" si="45">+B93</f>
        <v>151</v>
      </c>
      <c r="C107" s="63">
        <f t="shared" ref="C107:E108" si="46">+C93</f>
        <v>111</v>
      </c>
      <c r="D107" s="63">
        <f t="shared" si="46"/>
        <v>106</v>
      </c>
      <c r="E107" s="24">
        <f t="shared" si="46"/>
        <v>120</v>
      </c>
      <c r="F107" s="24">
        <v>96</v>
      </c>
      <c r="G107" s="24">
        <v>113</v>
      </c>
      <c r="H107" s="24">
        <f>+H93</f>
        <v>130</v>
      </c>
      <c r="I107" s="24">
        <v>125</v>
      </c>
      <c r="J107" s="57">
        <v>111</v>
      </c>
      <c r="K107" s="24">
        <v>125</v>
      </c>
      <c r="L107" s="24">
        <v>114</v>
      </c>
      <c r="M107" s="24">
        <v>134</v>
      </c>
    </row>
    <row r="108" spans="1:14">
      <c r="A108" s="12" t="s">
        <v>89</v>
      </c>
      <c r="B108" s="58">
        <f t="shared" ref="B108" si="47">+B94</f>
        <v>26</v>
      </c>
      <c r="C108" s="58">
        <f t="shared" si="46"/>
        <v>28</v>
      </c>
      <c r="D108" s="58">
        <f t="shared" si="46"/>
        <v>28</v>
      </c>
      <c r="E108" s="58">
        <f t="shared" si="46"/>
        <v>29</v>
      </c>
      <c r="F108" s="58">
        <v>29</v>
      </c>
      <c r="G108" s="58">
        <v>29</v>
      </c>
      <c r="H108" s="58">
        <f>+H94</f>
        <v>29</v>
      </c>
      <c r="I108" s="58">
        <v>109</v>
      </c>
      <c r="J108" s="58">
        <v>109</v>
      </c>
      <c r="K108" s="58">
        <v>109</v>
      </c>
      <c r="L108" s="58">
        <v>109</v>
      </c>
      <c r="M108" s="58">
        <v>109</v>
      </c>
    </row>
    <row r="109" spans="1:14">
      <c r="A109" t="s">
        <v>90</v>
      </c>
      <c r="B109" s="63">
        <f>+B107+B108</f>
        <v>177</v>
      </c>
      <c r="C109" s="63">
        <f>+C107+C108</f>
        <v>139</v>
      </c>
      <c r="D109" s="63">
        <f>+D107+D108</f>
        <v>134</v>
      </c>
      <c r="E109" s="24">
        <f>+E107+E108</f>
        <v>149</v>
      </c>
      <c r="F109" s="24">
        <v>125</v>
      </c>
      <c r="G109" s="24">
        <v>142</v>
      </c>
      <c r="H109" s="24">
        <f>+H107+H108</f>
        <v>159</v>
      </c>
      <c r="I109" s="24">
        <f t="shared" ref="I109:M109" si="48">+I107+I108</f>
        <v>234</v>
      </c>
      <c r="J109" s="24">
        <f t="shared" si="48"/>
        <v>220</v>
      </c>
      <c r="K109" s="24">
        <f t="shared" si="48"/>
        <v>234</v>
      </c>
      <c r="L109" s="24">
        <f t="shared" si="48"/>
        <v>223</v>
      </c>
      <c r="M109" s="24">
        <f t="shared" si="48"/>
        <v>243</v>
      </c>
    </row>
    <row r="110" spans="1:14">
      <c r="A110" s="30" t="s">
        <v>95</v>
      </c>
      <c r="B110" s="11">
        <f>+B72</f>
        <v>55555</v>
      </c>
      <c r="C110" s="11">
        <f>+C72</f>
        <v>54542</v>
      </c>
      <c r="D110" s="11">
        <f>+D72</f>
        <v>53393</v>
      </c>
      <c r="E110" s="56">
        <f>+E72</f>
        <v>51845</v>
      </c>
      <c r="F110" s="56">
        <v>49918</v>
      </c>
      <c r="G110" s="56">
        <v>49442</v>
      </c>
      <c r="H110" s="56">
        <v>48202</v>
      </c>
      <c r="I110" s="56">
        <f>+I72</f>
        <v>46719</v>
      </c>
      <c r="J110" s="56">
        <f t="shared" ref="J110:M110" si="49">+J72</f>
        <v>45758</v>
      </c>
      <c r="K110" s="56">
        <f t="shared" si="49"/>
        <v>44396</v>
      </c>
      <c r="L110" s="56">
        <f t="shared" si="49"/>
        <v>43723</v>
      </c>
      <c r="M110" s="56">
        <f t="shared" si="49"/>
        <v>42578</v>
      </c>
    </row>
    <row r="111" spans="1:14" ht="30.75" thickBot="1">
      <c r="A111" s="14" t="s">
        <v>96</v>
      </c>
      <c r="B111" s="20">
        <f>B109/B110</f>
        <v>3.186031860318603E-3</v>
      </c>
      <c r="C111" s="20">
        <f>C109/C110</f>
        <v>2.5484947380000735E-3</v>
      </c>
      <c r="D111" s="20">
        <f>D109/D110</f>
        <v>2.5096922817597813E-3</v>
      </c>
      <c r="E111" s="20">
        <f t="shared" ref="E111:H111" si="50">E109/E110</f>
        <v>2.8739512006943774E-3</v>
      </c>
      <c r="F111" s="20">
        <v>2.5041067350454744E-3</v>
      </c>
      <c r="G111" s="20">
        <v>2.8720521014522068E-3</v>
      </c>
      <c r="H111" s="20">
        <f t="shared" si="50"/>
        <v>3.2986183145927556E-3</v>
      </c>
      <c r="I111" s="20">
        <f>I109/I110</f>
        <v>5.0086688499325757E-3</v>
      </c>
      <c r="J111" s="20">
        <f t="shared" ref="J111:M111" si="51">J109/J110</f>
        <v>4.8079024432886057E-3</v>
      </c>
      <c r="K111" s="20">
        <f t="shared" si="51"/>
        <v>5.2707451121722674E-3</v>
      </c>
      <c r="L111" s="20">
        <f t="shared" si="51"/>
        <v>5.1002904649726693E-3</v>
      </c>
      <c r="M111" s="20">
        <f t="shared" si="51"/>
        <v>5.7071727183052277E-3</v>
      </c>
    </row>
    <row r="112" spans="1:14">
      <c r="B112" s="69"/>
      <c r="C112" s="69"/>
      <c r="D112" s="53"/>
      <c r="E112" s="53"/>
      <c r="F112" s="53"/>
      <c r="G112" s="53"/>
      <c r="H112" s="53"/>
      <c r="I112" s="53"/>
      <c r="J112" s="53"/>
      <c r="K112" s="53"/>
      <c r="L112" s="53"/>
    </row>
    <row r="113" spans="1:14">
      <c r="B113" s="22"/>
    </row>
    <row r="114" spans="1:14">
      <c r="A114" t="s">
        <v>97</v>
      </c>
      <c r="B114" s="47">
        <v>1.62</v>
      </c>
      <c r="C114" s="47">
        <v>1.25</v>
      </c>
      <c r="D114" s="47">
        <v>1.17</v>
      </c>
      <c r="E114" s="47">
        <v>0.47</v>
      </c>
      <c r="F114" s="47">
        <v>0.37</v>
      </c>
      <c r="G114" s="47">
        <v>0.36</v>
      </c>
      <c r="H114" s="47">
        <v>0.46</v>
      </c>
      <c r="I114" s="46">
        <v>0.69335999999999998</v>
      </c>
      <c r="J114" s="47">
        <v>0.79801</v>
      </c>
      <c r="K114" s="47">
        <v>1.0606800000000001</v>
      </c>
      <c r="L114" s="47">
        <v>1.6559900000000001</v>
      </c>
      <c r="M114" s="47">
        <v>1.5542800000000001</v>
      </c>
    </row>
    <row r="115" spans="1:14">
      <c r="A115" t="s">
        <v>98</v>
      </c>
      <c r="B115" s="22">
        <v>273</v>
      </c>
      <c r="C115" s="22">
        <v>181</v>
      </c>
      <c r="D115" s="22">
        <v>90</v>
      </c>
      <c r="E115" s="22">
        <v>365</v>
      </c>
      <c r="F115" s="22">
        <v>273</v>
      </c>
      <c r="G115" s="22">
        <v>181</v>
      </c>
      <c r="H115" s="22">
        <v>90</v>
      </c>
      <c r="I115" s="39">
        <v>366</v>
      </c>
      <c r="J115" s="22">
        <v>275</v>
      </c>
      <c r="K115" s="22">
        <v>182</v>
      </c>
      <c r="L115" s="22">
        <v>91</v>
      </c>
      <c r="M115" s="22">
        <v>365</v>
      </c>
    </row>
    <row r="116" spans="1:14">
      <c r="D116" s="22"/>
      <c r="E116" s="22"/>
      <c r="F116" s="22"/>
      <c r="G116" s="22"/>
      <c r="H116" s="22"/>
      <c r="I116" s="39"/>
      <c r="J116" s="22"/>
      <c r="K116" s="22"/>
      <c r="L116" s="22"/>
    </row>
    <row r="117" spans="1:14" s="22" customFormat="1">
      <c r="A117" s="22" t="s">
        <v>99</v>
      </c>
      <c r="B117" s="24">
        <v>16305</v>
      </c>
      <c r="C117" s="24">
        <v>16239</v>
      </c>
      <c r="D117" s="24">
        <v>16138</v>
      </c>
      <c r="E117" s="24">
        <f>18090-E118</f>
        <v>14519</v>
      </c>
      <c r="F117" s="24">
        <v>14514</v>
      </c>
      <c r="G117" s="24">
        <v>14559</v>
      </c>
      <c r="H117" s="24">
        <f>18314-H118</f>
        <v>14394</v>
      </c>
      <c r="I117" s="24">
        <v>12950</v>
      </c>
      <c r="J117" s="24">
        <v>12710</v>
      </c>
      <c r="K117" s="24">
        <v>12550</v>
      </c>
      <c r="L117" s="24">
        <v>12133</v>
      </c>
      <c r="M117" s="24">
        <v>10650</v>
      </c>
    </row>
    <row r="118" spans="1:14" s="22" customFormat="1">
      <c r="A118" s="22" t="s">
        <v>100</v>
      </c>
      <c r="B118" s="24">
        <v>3135</v>
      </c>
      <c r="C118" s="24">
        <v>3211</v>
      </c>
      <c r="D118" s="24">
        <v>3235</v>
      </c>
      <c r="E118" s="24">
        <v>3571</v>
      </c>
      <c r="F118" s="24">
        <v>3725</v>
      </c>
      <c r="G118" s="24">
        <v>3826</v>
      </c>
      <c r="H118" s="24">
        <v>3920</v>
      </c>
      <c r="I118" s="24">
        <v>4079</v>
      </c>
      <c r="J118" s="24">
        <v>4125</v>
      </c>
      <c r="K118" s="24">
        <v>4121</v>
      </c>
      <c r="L118" s="24">
        <v>4067</v>
      </c>
      <c r="M118" s="24">
        <v>4313</v>
      </c>
    </row>
    <row r="119" spans="1:14" s="22" customFormat="1">
      <c r="A119" s="22" t="s">
        <v>101</v>
      </c>
      <c r="B119" s="24">
        <v>517</v>
      </c>
      <c r="C119" s="24">
        <v>327</v>
      </c>
      <c r="D119" s="24">
        <f>158.353-1</f>
        <v>157.35300000000001</v>
      </c>
      <c r="E119" s="24">
        <f>497-6</f>
        <v>491</v>
      </c>
      <c r="F119" s="24">
        <v>362.3</v>
      </c>
      <c r="G119" s="24">
        <v>241.89999999999998</v>
      </c>
      <c r="H119" s="24">
        <v>121.5</v>
      </c>
      <c r="I119" s="50">
        <v>492.95800000000003</v>
      </c>
      <c r="J119" s="24">
        <v>380.67900000000003</v>
      </c>
      <c r="K119" s="24">
        <v>269.61900000000003</v>
      </c>
      <c r="L119" s="24">
        <f>143.172-2</f>
        <v>141.172</v>
      </c>
      <c r="M119" s="24">
        <v>466.428</v>
      </c>
    </row>
    <row r="120" spans="1:14" s="22" customFormat="1">
      <c r="A120" s="22" t="s">
        <v>102</v>
      </c>
      <c r="B120" s="24">
        <v>91</v>
      </c>
      <c r="C120" s="24">
        <v>58</v>
      </c>
      <c r="D120" s="24">
        <v>29</v>
      </c>
      <c r="E120" s="24">
        <v>109</v>
      </c>
      <c r="F120" s="24">
        <v>83</v>
      </c>
      <c r="G120" s="24">
        <v>57.6</v>
      </c>
      <c r="H120" s="24">
        <v>30</v>
      </c>
      <c r="I120" s="50">
        <v>144</v>
      </c>
      <c r="J120" s="24">
        <v>115</v>
      </c>
      <c r="K120" s="24">
        <v>83.8</v>
      </c>
      <c r="L120" s="24">
        <v>45.5</v>
      </c>
      <c r="M120" s="24">
        <v>176.833</v>
      </c>
    </row>
    <row r="121" spans="1:14" s="22" customFormat="1">
      <c r="A121" s="34" t="s">
        <v>103</v>
      </c>
      <c r="B121" s="56">
        <f>+(B117+B118)*B114%*B115/365</f>
        <v>235.5488876712329</v>
      </c>
      <c r="C121" s="56">
        <f>+(C117+C118)*C114%*C115/365</f>
        <v>120.56335616438356</v>
      </c>
      <c r="D121" s="51">
        <f>+(D117+D118)*D114%*D115/365</f>
        <v>55.889778082191775</v>
      </c>
      <c r="E121" s="51">
        <f>+(E117+E118)*E114%*E115/365</f>
        <v>85.022999999999982</v>
      </c>
      <c r="F121" s="51">
        <v>50.47455863013699</v>
      </c>
      <c r="G121" s="51">
        <v>32.821002739726026</v>
      </c>
      <c r="H121" s="51">
        <f>+(H117+H118)*H114%*H115/365</f>
        <v>20.772591780821919</v>
      </c>
      <c r="I121" s="51">
        <f>+(I117+I118)*I114%*I115/366</f>
        <v>118.0722744</v>
      </c>
      <c r="J121" s="51">
        <f t="shared" ref="J121:K121" si="52">+(J117+J118)*J114%*J115/366</f>
        <v>100.94226902322406</v>
      </c>
      <c r="K121" s="51">
        <f t="shared" si="52"/>
        <v>87.929850354098363</v>
      </c>
      <c r="L121" s="51">
        <f>+(L117+L118)*L114%*L115/366</f>
        <v>66.701105409836075</v>
      </c>
      <c r="M121" s="51">
        <f>+(M117+M118)*M114%*M115/365</f>
        <v>232.5669164</v>
      </c>
    </row>
    <row r="122" spans="1:14" s="22" customFormat="1">
      <c r="A122" s="22" t="s">
        <v>104</v>
      </c>
      <c r="B122" s="63">
        <f>+B120+B119-B121</f>
        <v>372.45111232876707</v>
      </c>
      <c r="C122" s="63">
        <f>+C120+C119-C121</f>
        <v>264.43664383561645</v>
      </c>
      <c r="D122" s="66">
        <f>+D120+D119-D121</f>
        <v>130.46322191780823</v>
      </c>
      <c r="E122" s="50">
        <f>+E120+E119-E121</f>
        <v>514.97699999999998</v>
      </c>
      <c r="F122" s="50">
        <v>394.82544136986303</v>
      </c>
      <c r="G122" s="50">
        <v>266.67899726027395</v>
      </c>
      <c r="H122" s="50">
        <f>+H120+H119-H121</f>
        <v>130.72740821917807</v>
      </c>
      <c r="I122" s="50">
        <f>+I120+I119-I121</f>
        <v>518.88572560000011</v>
      </c>
      <c r="J122" s="50">
        <f t="shared" ref="J122:M122" si="53">+J120+J119-J121</f>
        <v>394.73673097677596</v>
      </c>
      <c r="K122" s="50">
        <f t="shared" si="53"/>
        <v>265.48914964590165</v>
      </c>
      <c r="L122" s="50">
        <f>+L120+L119-L121</f>
        <v>119.97089459016392</v>
      </c>
      <c r="M122" s="50">
        <f t="shared" si="53"/>
        <v>410.6940836</v>
      </c>
    </row>
    <row r="123" spans="1:14" s="43" customFormat="1" ht="15.75" thickBot="1">
      <c r="A123" s="14" t="s">
        <v>105</v>
      </c>
      <c r="B123" s="20">
        <f>+B122*(365/B115)/(B117+B118)</f>
        <v>2.5615523297004773E-2</v>
      </c>
      <c r="C123" s="20">
        <f>+C122*(365/C115)/(C117+C118)</f>
        <v>2.7416772003579087E-2</v>
      </c>
      <c r="D123" s="20">
        <f>+D122*(365/D115)/(D117+D118)</f>
        <v>2.7311249906800415E-2</v>
      </c>
      <c r="E123" s="20">
        <f>+E122*(365/E115)/(E117+E118)</f>
        <v>2.8467495854063017E-2</v>
      </c>
      <c r="F123" s="20">
        <v>2.8942385485194847E-2</v>
      </c>
      <c r="G123" s="20">
        <v>2.9250915876953498E-2</v>
      </c>
      <c r="H123" s="20">
        <f>+H122*(365/H115)/(H117+H118)</f>
        <v>2.894901532525208E-2</v>
      </c>
      <c r="I123" s="20">
        <f>+I122*(366/I115)/(I117+I118)</f>
        <v>3.047071029420401E-2</v>
      </c>
      <c r="J123" s="20">
        <f t="shared" ref="J123:L123" si="54">+J122*(366/J115)/(J117+J118)</f>
        <v>3.1206338210438209E-2</v>
      </c>
      <c r="K123" s="20">
        <f t="shared" si="54"/>
        <v>3.2025419139507245E-2</v>
      </c>
      <c r="L123" s="20">
        <f t="shared" si="54"/>
        <v>2.9785203785103784E-2</v>
      </c>
      <c r="M123" s="20">
        <f>+M122*(365/M115)/(M117+M118)</f>
        <v>2.7447308935373921E-2</v>
      </c>
      <c r="N123" s="22"/>
    </row>
    <row r="124" spans="1:14" s="22" customFormat="1" hidden="1">
      <c r="B124" s="67"/>
      <c r="C124" s="67"/>
      <c r="D124" s="52"/>
      <c r="E124" s="52">
        <f>+(E119+E120)*(365/E115)/(E117+E118)</f>
        <v>3.316749585406302E-2</v>
      </c>
      <c r="F124" s="52">
        <v>3.2642385485194846E-2</v>
      </c>
      <c r="G124" s="52">
        <v>3.2850915876953497E-2</v>
      </c>
      <c r="H124" s="52">
        <f>+(H119+H120)*(365/H115)/(H117+H118)</f>
        <v>3.3549015325252084E-2</v>
      </c>
      <c r="I124" s="48"/>
      <c r="J124" s="49"/>
      <c r="K124" s="49"/>
      <c r="L124" s="49"/>
      <c r="M124" s="49"/>
    </row>
    <row r="125" spans="1:14" s="22" customFormat="1" hidden="1">
      <c r="B125" s="67"/>
      <c r="C125" s="67"/>
      <c r="D125" s="52"/>
      <c r="E125" s="52">
        <f>+(E119)*(365/E115)/(E117)</f>
        <v>3.3817756043804673E-2</v>
      </c>
      <c r="F125" s="52">
        <v>3.3374243688423101E-2</v>
      </c>
      <c r="G125" s="52">
        <v>3.3505693541121873E-2</v>
      </c>
      <c r="H125" s="52">
        <f>+(H119)*(365/H115)/(H117)</f>
        <v>3.4233013755731553E-2</v>
      </c>
      <c r="I125" s="48"/>
      <c r="J125" s="49"/>
      <c r="K125" s="49"/>
      <c r="L125" s="49"/>
      <c r="M125" s="49"/>
    </row>
    <row r="126" spans="1:14" s="22" customFormat="1" hidden="1">
      <c r="B126" s="67"/>
      <c r="C126" s="67"/>
      <c r="D126" s="52"/>
      <c r="E126" s="52">
        <f>+(E120)*(365/E115)/(E118)</f>
        <v>3.0523662839540746E-2</v>
      </c>
      <c r="F126" s="52">
        <v>2.9790790864616366E-2</v>
      </c>
      <c r="G126" s="52">
        <v>3.0359303746104731E-2</v>
      </c>
      <c r="H126" s="52">
        <f>+(H120)*(365/H115)/(H118)</f>
        <v>3.1037414965986391E-2</v>
      </c>
      <c r="I126" s="48"/>
      <c r="J126" s="49"/>
      <c r="K126" s="49"/>
      <c r="L126" s="49"/>
      <c r="M126" s="49"/>
    </row>
    <row r="127" spans="1:14" s="22" customFormat="1">
      <c r="B127" s="17"/>
      <c r="C127" s="17"/>
      <c r="I127" s="39"/>
    </row>
    <row r="128" spans="1:14" s="22" customFormat="1">
      <c r="B128" s="17"/>
      <c r="C128" s="17"/>
      <c r="I128" s="39"/>
    </row>
    <row r="129" spans="1:14" s="22" customFormat="1">
      <c r="A129" s="22" t="s">
        <v>106</v>
      </c>
      <c r="B129" s="24">
        <v>18038</v>
      </c>
      <c r="C129" s="24">
        <v>17567</v>
      </c>
      <c r="D129" s="24">
        <v>17450</v>
      </c>
      <c r="E129" s="24">
        <f>30997-E130</f>
        <v>16026</v>
      </c>
      <c r="F129" s="24">
        <v>15322</v>
      </c>
      <c r="G129" s="24">
        <v>15020</v>
      </c>
      <c r="H129" s="24">
        <f>29379-H130</f>
        <v>14834</v>
      </c>
      <c r="I129" s="24">
        <v>13500</v>
      </c>
      <c r="J129" s="24">
        <v>13090</v>
      </c>
      <c r="K129" s="24">
        <v>13125</v>
      </c>
      <c r="L129" s="24">
        <v>13701</v>
      </c>
      <c r="M129" s="24">
        <v>12910</v>
      </c>
    </row>
    <row r="130" spans="1:14" s="22" customFormat="1">
      <c r="A130" s="22" t="s">
        <v>107</v>
      </c>
      <c r="B130" s="24">
        <v>16379</v>
      </c>
      <c r="C130" s="24">
        <v>16186</v>
      </c>
      <c r="D130" s="24">
        <v>16084</v>
      </c>
      <c r="E130" s="24">
        <v>14971</v>
      </c>
      <c r="F130" s="24">
        <v>14794</v>
      </c>
      <c r="G130" s="24">
        <v>14811</v>
      </c>
      <c r="H130" s="24">
        <v>14545</v>
      </c>
      <c r="I130" s="24">
        <v>13765</v>
      </c>
      <c r="J130" s="24">
        <v>13622</v>
      </c>
      <c r="K130" s="24">
        <v>13458</v>
      </c>
      <c r="L130" s="24">
        <v>13034</v>
      </c>
      <c r="M130" s="24">
        <v>12210</v>
      </c>
    </row>
    <row r="131" spans="1:14" s="22" customFormat="1">
      <c r="A131" s="22" t="s">
        <v>108</v>
      </c>
      <c r="B131" s="24">
        <v>388</v>
      </c>
      <c r="C131" s="24">
        <v>240</v>
      </c>
      <c r="D131" s="24">
        <f>113.334+2</f>
        <v>115.334</v>
      </c>
      <c r="E131" s="24">
        <f>391+6</f>
        <v>397</v>
      </c>
      <c r="F131" s="24">
        <v>290.7</v>
      </c>
      <c r="G131" s="24">
        <v>191</v>
      </c>
      <c r="H131" s="24">
        <f>92.3+2</f>
        <v>94.3</v>
      </c>
      <c r="I131" s="50">
        <v>412.38</v>
      </c>
      <c r="J131" s="24">
        <v>317.82299999999998</v>
      </c>
      <c r="K131" s="24">
        <f>225.46-2.9</f>
        <v>222.56</v>
      </c>
      <c r="L131" s="24">
        <f>123.177+2</f>
        <v>125.17700000000001</v>
      </c>
      <c r="M131" s="24">
        <v>446.20400000000001</v>
      </c>
    </row>
    <row r="132" spans="1:14" s="22" customFormat="1">
      <c r="A132" s="22" t="s">
        <v>109</v>
      </c>
      <c r="B132" s="24">
        <v>297</v>
      </c>
      <c r="C132" s="24">
        <v>183</v>
      </c>
      <c r="D132" s="24">
        <v>87</v>
      </c>
      <c r="E132" s="24">
        <v>290</v>
      </c>
      <c r="F132" s="24">
        <v>212</v>
      </c>
      <c r="G132" s="24">
        <v>139.69999999999999</v>
      </c>
      <c r="H132" s="24">
        <v>69.3</v>
      </c>
      <c r="I132" s="50">
        <v>323.60000000000002</v>
      </c>
      <c r="J132" s="24">
        <v>254.3</v>
      </c>
      <c r="K132" s="24">
        <v>185.2</v>
      </c>
      <c r="L132" s="24">
        <v>100.78</v>
      </c>
      <c r="M132" s="24">
        <v>346.76</v>
      </c>
    </row>
    <row r="133" spans="1:14" s="22" customFormat="1">
      <c r="A133" s="34" t="s">
        <v>103</v>
      </c>
      <c r="B133" s="56">
        <f>+(B129+B130)*B114%*B115/365</f>
        <v>417.02088821917812</v>
      </c>
      <c r="C133" s="56">
        <f>+(C129+C130)*C114%*C115/365</f>
        <v>209.22236301369864</v>
      </c>
      <c r="D133" s="51">
        <f>+(D129+D130)*D114%*D115/365</f>
        <v>96.74329315068492</v>
      </c>
      <c r="E133" s="51">
        <f>+(E129+E130)*E114%*E115/365</f>
        <v>145.68589999999998</v>
      </c>
      <c r="F133" s="51">
        <v>83.342935890410956</v>
      </c>
      <c r="G133" s="51">
        <v>53.25446465753425</v>
      </c>
      <c r="H133" s="51">
        <f>+(H129+H130)*H114%*H115/365</f>
        <v>33.323030136986297</v>
      </c>
      <c r="I133" s="51">
        <f>+(I129+I130)*I114%*I115/366</f>
        <v>189.04460400000002</v>
      </c>
      <c r="J133" s="51">
        <f t="shared" ref="J133:L133" si="55">+(J129+J130)*J114%*J115/366</f>
        <v>160.16453163934429</v>
      </c>
      <c r="K133" s="51">
        <f t="shared" si="55"/>
        <v>140.2098981442623</v>
      </c>
      <c r="L133" s="51">
        <f t="shared" si="55"/>
        <v>110.07741068715848</v>
      </c>
      <c r="M133" s="51">
        <f>+(M129+M130)*M114%*M115/365</f>
        <v>390.435136</v>
      </c>
    </row>
    <row r="134" spans="1:14" s="22" customFormat="1">
      <c r="A134" s="22" t="s">
        <v>104</v>
      </c>
      <c r="B134" s="63">
        <f>+B132+B131-B133</f>
        <v>267.97911178082188</v>
      </c>
      <c r="C134" s="63">
        <f>+C132+C131-C133</f>
        <v>213.77763698630136</v>
      </c>
      <c r="D134" s="66">
        <f>+D132+D131-D133</f>
        <v>105.59070684931508</v>
      </c>
      <c r="E134" s="50">
        <f t="shared" ref="E134:H134" si="56">+E132+E131-E133</f>
        <v>541.31410000000005</v>
      </c>
      <c r="F134" s="50">
        <v>419.35706410958903</v>
      </c>
      <c r="G134" s="50">
        <v>277.44553534246575</v>
      </c>
      <c r="H134" s="50">
        <f t="shared" si="56"/>
        <v>130.2769698630137</v>
      </c>
      <c r="I134" s="50">
        <f>+I132+I131-I133</f>
        <v>546.93539599999997</v>
      </c>
      <c r="J134" s="50">
        <f t="shared" ref="J134:M134" si="57">+J132+J131-J133</f>
        <v>411.95846836065573</v>
      </c>
      <c r="K134" s="50">
        <f t="shared" si="57"/>
        <v>267.55010185573769</v>
      </c>
      <c r="L134" s="50">
        <f t="shared" si="57"/>
        <v>115.87958931284152</v>
      </c>
      <c r="M134" s="50">
        <f t="shared" si="57"/>
        <v>402.52886399999994</v>
      </c>
    </row>
    <row r="135" spans="1:14" s="43" customFormat="1" ht="15.75" thickBot="1">
      <c r="A135" s="14" t="s">
        <v>110</v>
      </c>
      <c r="B135" s="20">
        <f>+B134*(365/B115)/(B129+B130)</f>
        <v>1.041017784357994E-2</v>
      </c>
      <c r="C135" s="20">
        <f>+C134*(365/C115)/(C129+C130)</f>
        <v>1.2772155059513433E-2</v>
      </c>
      <c r="D135" s="20">
        <f>+D134*(365/D115)/(D129+D130)</f>
        <v>1.2769993969636125E-2</v>
      </c>
      <c r="E135" s="20">
        <f>+E134*(365/E115)/(E129+E130)</f>
        <v>1.7463435171145597E-2</v>
      </c>
      <c r="F135" s="20">
        <v>1.8617308361271703E-2</v>
      </c>
      <c r="G135" s="20">
        <v>1.8755308754973457E-2</v>
      </c>
      <c r="H135" s="20">
        <f>+H134*(365/H115)/(H129+H130)</f>
        <v>1.7983780553759109E-2</v>
      </c>
      <c r="I135" s="20">
        <f>+I134*(366/I115)/(I129+I130)</f>
        <v>2.0059981514762515E-2</v>
      </c>
      <c r="J135" s="20">
        <f>+J134*(366/J115)/(J129+J130)</f>
        <v>2.0525579163603688E-2</v>
      </c>
      <c r="K135" s="20">
        <f t="shared" ref="K135:L135" si="58">+K134*(366/K115)/(K129+K130)</f>
        <v>2.0240014848620515E-2</v>
      </c>
      <c r="L135" s="20">
        <f t="shared" si="58"/>
        <v>1.7432772074512357E-2</v>
      </c>
      <c r="M135" s="20">
        <f>+M134*(365/M115)/(M129+M130)</f>
        <v>1.6024238216560509E-2</v>
      </c>
      <c r="N135" s="22"/>
    </row>
    <row r="136" spans="1:14" s="43" customFormat="1">
      <c r="B136" s="35"/>
      <c r="C136" s="68"/>
      <c r="D136" s="35"/>
      <c r="E136" s="49"/>
      <c r="F136" s="49"/>
      <c r="G136" s="49"/>
      <c r="H136" s="45"/>
      <c r="I136" s="44"/>
      <c r="J136" s="45"/>
      <c r="K136" s="45"/>
      <c r="L136" s="45"/>
      <c r="M136" s="45"/>
      <c r="N136" s="22"/>
    </row>
    <row r="137" spans="1:14">
      <c r="A137" s="22"/>
      <c r="B137" s="68"/>
      <c r="C137" s="68"/>
      <c r="D137" s="35"/>
      <c r="E137" s="49"/>
      <c r="F137" s="49"/>
      <c r="G137" s="49"/>
      <c r="H137" s="49"/>
      <c r="I137" s="48"/>
      <c r="J137" s="49"/>
      <c r="K137" s="49"/>
      <c r="L137" s="49"/>
      <c r="M137" s="49"/>
    </row>
    <row r="138" spans="1:14">
      <c r="A138" s="22" t="s">
        <v>111</v>
      </c>
      <c r="B138" s="24">
        <v>24048</v>
      </c>
      <c r="C138" s="24">
        <v>23605</v>
      </c>
      <c r="D138" s="24">
        <v>22926</v>
      </c>
      <c r="E138" s="24">
        <f>18448+1184</f>
        <v>19632</v>
      </c>
      <c r="F138" s="24">
        <v>18866</v>
      </c>
      <c r="G138" s="24">
        <v>18202.5</v>
      </c>
      <c r="H138" s="24">
        <v>17913</v>
      </c>
      <c r="I138" s="50">
        <v>16587</v>
      </c>
      <c r="J138" s="24">
        <v>16295</v>
      </c>
      <c r="K138" s="24">
        <v>15959</v>
      </c>
      <c r="L138" s="24">
        <v>15676</v>
      </c>
      <c r="M138" s="24">
        <v>15189</v>
      </c>
    </row>
    <row r="139" spans="1:14">
      <c r="A139" s="22"/>
      <c r="B139" s="25"/>
      <c r="C139" s="25"/>
      <c r="D139" s="24"/>
      <c r="E139" s="24"/>
      <c r="F139" s="24"/>
      <c r="G139" s="24"/>
      <c r="H139" s="24"/>
      <c r="I139" s="50"/>
      <c r="J139" s="24"/>
      <c r="K139" s="24"/>
      <c r="L139" s="24"/>
      <c r="M139" s="24"/>
    </row>
    <row r="140" spans="1:14">
      <c r="A140" s="22" t="s">
        <v>112</v>
      </c>
      <c r="B140" s="24">
        <v>379</v>
      </c>
      <c r="C140" s="24">
        <v>224</v>
      </c>
      <c r="D140" s="24">
        <v>101</v>
      </c>
      <c r="E140" s="24">
        <v>289</v>
      </c>
      <c r="F140" s="24">
        <v>204</v>
      </c>
      <c r="G140" s="24">
        <v>136</v>
      </c>
      <c r="H140" s="24">
        <v>69</v>
      </c>
      <c r="I140" s="50">
        <v>375</v>
      </c>
      <c r="J140" s="24">
        <v>309</v>
      </c>
      <c r="K140" s="24">
        <v>243</v>
      </c>
      <c r="L140" s="24">
        <v>135</v>
      </c>
      <c r="M140" s="24">
        <v>437</v>
      </c>
    </row>
    <row r="141" spans="1:14">
      <c r="A141" s="34" t="s">
        <v>113</v>
      </c>
      <c r="B141" s="56">
        <v>-227</v>
      </c>
      <c r="C141" s="56">
        <f>-137</f>
        <v>-137</v>
      </c>
      <c r="D141" s="56">
        <v>-62.5</v>
      </c>
      <c r="E141" s="56">
        <v>-177</v>
      </c>
      <c r="F141" s="56">
        <v>-126</v>
      </c>
      <c r="G141" s="56">
        <v>-87</v>
      </c>
      <c r="H141" s="56">
        <f>-52+8</f>
        <v>-44</v>
      </c>
      <c r="I141" s="51">
        <f>-245+12-1</f>
        <v>-234</v>
      </c>
      <c r="J141" s="56">
        <f>-194+2</f>
        <v>-192</v>
      </c>
      <c r="K141" s="56">
        <f>-143-8</f>
        <v>-151</v>
      </c>
      <c r="L141" s="56">
        <f>-78-7</f>
        <v>-85</v>
      </c>
      <c r="M141" s="56">
        <f>-264-4</f>
        <v>-268</v>
      </c>
    </row>
    <row r="142" spans="1:14">
      <c r="A142" s="22" t="s">
        <v>114</v>
      </c>
      <c r="B142" s="24">
        <f>+B140+B141</f>
        <v>152</v>
      </c>
      <c r="C142" s="24">
        <f>+C140+C141</f>
        <v>87</v>
      </c>
      <c r="D142" s="24">
        <f>+D140+D141</f>
        <v>38.5</v>
      </c>
      <c r="E142" s="24">
        <f>+E140+E141</f>
        <v>112</v>
      </c>
      <c r="F142" s="24">
        <v>78</v>
      </c>
      <c r="G142" s="24">
        <v>49</v>
      </c>
      <c r="H142" s="24">
        <f t="shared" ref="H142:M142" si="59">SUM(H140:H141)</f>
        <v>25</v>
      </c>
      <c r="I142" s="24">
        <f t="shared" si="59"/>
        <v>141</v>
      </c>
      <c r="J142" s="24">
        <f t="shared" si="59"/>
        <v>117</v>
      </c>
      <c r="K142" s="24">
        <f t="shared" si="59"/>
        <v>92</v>
      </c>
      <c r="L142" s="24">
        <f t="shared" si="59"/>
        <v>50</v>
      </c>
      <c r="M142" s="24">
        <f t="shared" si="59"/>
        <v>169</v>
      </c>
    </row>
    <row r="143" spans="1:14">
      <c r="A143" s="22"/>
      <c r="B143" s="24"/>
      <c r="C143" s="24"/>
      <c r="D143" s="24"/>
      <c r="E143" s="24"/>
      <c r="F143" s="24"/>
      <c r="G143" s="24"/>
      <c r="H143" s="24"/>
      <c r="I143" s="24"/>
      <c r="J143" s="24"/>
      <c r="K143" s="24"/>
      <c r="L143" s="24"/>
      <c r="M143" s="24"/>
    </row>
    <row r="144" spans="1:14">
      <c r="A144" s="34" t="s">
        <v>103</v>
      </c>
      <c r="B144" s="56">
        <f>+B138*B114%*B115/365</f>
        <v>291.38269808219184</v>
      </c>
      <c r="C144" s="56">
        <f>+C138*C114%*C115/365</f>
        <v>146.31866438356164</v>
      </c>
      <c r="D144" s="51">
        <f>+D138*D114%*D115/365</f>
        <v>66.139939726027393</v>
      </c>
      <c r="E144" s="51">
        <f>+E138*E114%*E115/365</f>
        <v>92.270399999999995</v>
      </c>
      <c r="F144" s="51">
        <v>52.20971671232877</v>
      </c>
      <c r="G144" s="51">
        <v>32.495202739726025</v>
      </c>
      <c r="H144" s="51">
        <f>+H138*H114%*H115/365</f>
        <v>20.317758904109589</v>
      </c>
      <c r="I144" s="51">
        <f>+I138*I114%*I115/366</f>
        <v>115.0076232</v>
      </c>
      <c r="J144" s="51">
        <f>+J138*J114%*J115/366</f>
        <v>97.704441564207642</v>
      </c>
      <c r="K144" s="51">
        <f>+K138*K114%*K115/366</f>
        <v>84.174463547540995</v>
      </c>
      <c r="L144" s="51">
        <f>+L138*L114%*L115/366</f>
        <v>64.543612864480878</v>
      </c>
      <c r="M144" s="51">
        <f>+M138*M114%*M115/365</f>
        <v>236.07958920000002</v>
      </c>
    </row>
    <row r="145" spans="1:14">
      <c r="A145" s="22" t="s">
        <v>115</v>
      </c>
      <c r="B145" s="63">
        <f>+B144-B142</f>
        <v>139.38269808219184</v>
      </c>
      <c r="C145" s="63">
        <f>+C144-C142</f>
        <v>59.318664383561639</v>
      </c>
      <c r="D145" s="66">
        <f>+D144-D142</f>
        <v>27.639939726027393</v>
      </c>
      <c r="E145" s="50">
        <f>+E144-E142</f>
        <v>-19.729600000000005</v>
      </c>
      <c r="F145" s="50">
        <v>-25.79028328767123</v>
      </c>
      <c r="G145" s="50">
        <v>-16.504797260273975</v>
      </c>
      <c r="H145" s="50">
        <f t="shared" ref="H145" si="60">+H144-H142</f>
        <v>-4.6822410958904115</v>
      </c>
      <c r="I145" s="50">
        <f>+I144-I142</f>
        <v>-25.992376800000002</v>
      </c>
      <c r="J145" s="50">
        <f t="shared" ref="J145:M145" si="61">+J144-J142</f>
        <v>-19.295558435792358</v>
      </c>
      <c r="K145" s="50">
        <f t="shared" si="61"/>
        <v>-7.825536452459005</v>
      </c>
      <c r="L145" s="50">
        <f t="shared" si="61"/>
        <v>14.543612864480878</v>
      </c>
      <c r="M145" s="50">
        <f t="shared" si="61"/>
        <v>67.079589200000015</v>
      </c>
    </row>
    <row r="146" spans="1:14" s="3" customFormat="1" ht="15.75" thickBot="1">
      <c r="A146" s="14" t="s">
        <v>116</v>
      </c>
      <c r="B146" s="20">
        <f>+B145*(365/B115)/B138</f>
        <v>7.7492580163238869E-3</v>
      </c>
      <c r="C146" s="20">
        <f>+C145*(365/C115)/C138</f>
        <v>5.0675920800560791E-3</v>
      </c>
      <c r="D146" s="20">
        <f>+D145*(365/D115)/D138</f>
        <v>4.8894404218403163E-3</v>
      </c>
      <c r="E146" s="20">
        <f>+E145*(365/E115)/E138</f>
        <v>-1.0049714751426246E-3</v>
      </c>
      <c r="F146" s="20">
        <v>-1.8277066832245456E-3</v>
      </c>
      <c r="G146" s="20">
        <v>-1.8284935968209096E-3</v>
      </c>
      <c r="H146" s="20">
        <f>+H145*(365/H115)/H138</f>
        <v>-1.0600730692172662E-3</v>
      </c>
      <c r="I146" s="20">
        <f>+I145*(366/I115)/I138</f>
        <v>-1.5670330258636283E-3</v>
      </c>
      <c r="J146" s="20">
        <f>+J145*(366/J115)/J138</f>
        <v>-1.5759824569723012E-3</v>
      </c>
      <c r="K146" s="20">
        <f>+K145*(366/K115)/K138</f>
        <v>-9.8609360304461355E-4</v>
      </c>
      <c r="L146" s="20">
        <f>+L145*(366/L115)/L138</f>
        <v>3.7314424152270292E-3</v>
      </c>
      <c r="M146" s="20">
        <f>+M145*(365/M115)/M138</f>
        <v>4.416326894463099E-3</v>
      </c>
      <c r="N146"/>
    </row>
    <row r="147" spans="1:14">
      <c r="A147" s="22"/>
      <c r="B147" s="68"/>
      <c r="C147" s="68"/>
      <c r="D147" s="40"/>
      <c r="E147" s="40"/>
      <c r="F147" s="40"/>
      <c r="G147" s="40"/>
      <c r="H147" s="40"/>
      <c r="I147" s="40"/>
      <c r="J147" s="35"/>
      <c r="K147" s="35"/>
      <c r="L147" s="35"/>
      <c r="M147" s="35"/>
    </row>
    <row r="148" spans="1:14">
      <c r="A148" s="22"/>
      <c r="B148" s="68"/>
      <c r="C148" s="68"/>
      <c r="D148" s="40"/>
      <c r="E148" s="40"/>
      <c r="F148" s="40"/>
      <c r="G148" s="40"/>
      <c r="H148" s="40"/>
      <c r="I148" s="40"/>
      <c r="J148" s="35"/>
      <c r="K148" s="35"/>
      <c r="L148" s="35"/>
      <c r="M148" s="35"/>
    </row>
    <row r="149" spans="1:14">
      <c r="A149" s="22"/>
      <c r="B149" s="68"/>
      <c r="C149" s="68"/>
      <c r="D149" s="40"/>
      <c r="E149" s="40"/>
      <c r="F149" s="40"/>
      <c r="G149" s="40"/>
      <c r="H149" s="40"/>
      <c r="I149" s="40"/>
      <c r="J149" s="35"/>
      <c r="K149" s="35"/>
      <c r="L149" s="35"/>
      <c r="M149" s="35"/>
    </row>
    <row r="150" spans="1:14">
      <c r="A150" s="22"/>
      <c r="B150" s="68"/>
      <c r="C150" s="68"/>
      <c r="D150" s="40"/>
      <c r="E150" s="40"/>
      <c r="F150" s="40"/>
      <c r="G150" s="40"/>
      <c r="H150" s="40"/>
      <c r="I150" s="40"/>
      <c r="J150" s="35"/>
      <c r="K150" s="35"/>
      <c r="L150" s="35"/>
      <c r="M150" s="35"/>
    </row>
    <row r="151" spans="1:14">
      <c r="A151" s="22"/>
      <c r="B151" s="68"/>
      <c r="C151" s="68"/>
      <c r="D151" s="40"/>
      <c r="E151" s="40"/>
      <c r="F151" s="40"/>
      <c r="G151" s="40"/>
      <c r="H151" s="40"/>
      <c r="I151" s="40"/>
      <c r="J151" s="35"/>
      <c r="K151" s="35"/>
      <c r="L151" s="35"/>
      <c r="M151" s="35"/>
    </row>
    <row r="152" spans="1:14">
      <c r="A152" s="22"/>
      <c r="B152" s="68"/>
      <c r="C152" s="68"/>
      <c r="D152" s="40"/>
      <c r="E152" s="40"/>
      <c r="F152" s="40"/>
      <c r="G152" s="40"/>
      <c r="H152" s="40"/>
      <c r="I152" s="40"/>
      <c r="J152" s="35"/>
      <c r="K152" s="35"/>
      <c r="L152" s="35"/>
      <c r="M152" s="35"/>
    </row>
    <row r="153" spans="1:14">
      <c r="K153" s="35"/>
      <c r="L153" s="35"/>
      <c r="M153" s="35"/>
    </row>
    <row r="154" spans="1:14">
      <c r="K154" s="35"/>
      <c r="L154" s="35"/>
      <c r="M154" s="35"/>
    </row>
    <row r="155" spans="1:14">
      <c r="K155" s="35"/>
      <c r="L155" s="35"/>
      <c r="M155" s="35"/>
    </row>
    <row r="156" spans="1:14">
      <c r="K156" s="35"/>
      <c r="L156" s="35"/>
      <c r="M156" s="35"/>
    </row>
    <row r="157" spans="1:14">
      <c r="K157" s="35"/>
      <c r="L157" s="35"/>
      <c r="M157" s="35"/>
    </row>
    <row r="158" spans="1:14">
      <c r="K158" s="35"/>
      <c r="L158" s="35"/>
      <c r="M158" s="35"/>
    </row>
    <row r="159" spans="1:14">
      <c r="K159" s="35"/>
      <c r="L159" s="35"/>
      <c r="M159" s="35"/>
    </row>
    <row r="160" spans="1:14">
      <c r="K160" s="35"/>
      <c r="L160" s="35"/>
      <c r="M160" s="35"/>
    </row>
    <row r="161" spans="11:13">
      <c r="K161" s="35"/>
      <c r="L161" s="35"/>
      <c r="M161" s="35"/>
    </row>
    <row r="162" spans="11:13">
      <c r="K162" s="35"/>
      <c r="L162" s="35"/>
      <c r="M162" s="35"/>
    </row>
    <row r="163" spans="11:13">
      <c r="K163" s="35"/>
      <c r="L163" s="35"/>
      <c r="M163" s="35"/>
    </row>
    <row r="164" spans="11:13">
      <c r="K164" s="35"/>
      <c r="L164" s="35"/>
      <c r="M164" s="35"/>
    </row>
    <row r="165" spans="11:13">
      <c r="K165" s="35"/>
      <c r="L165" s="35"/>
      <c r="M165" s="35"/>
    </row>
    <row r="166" spans="11:13">
      <c r="K166" s="35"/>
      <c r="L166" s="35"/>
      <c r="M166" s="35"/>
    </row>
    <row r="167" spans="11:13">
      <c r="K167" s="35"/>
      <c r="L167" s="35"/>
      <c r="M167" s="35"/>
    </row>
  </sheetData>
  <pageMargins left="0.7" right="0.7" top="0.75" bottom="0.75" header="0.3" footer="0.3"/>
  <pageSetup paperSize="9" orientation="portrait" r:id="rId1"/>
  <ignoredErrors>
    <ignoredError sqref="I23:L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2" ma:contentTypeDescription="Create a new document." ma:contentTypeScope="" ma:versionID="511b5347395e0c43b348394748798e54">
  <xsd:schema xmlns:xsd="http://www.w3.org/2001/XMLSchema" xmlns:xs="http://www.w3.org/2001/XMLSchema" xmlns:p="http://schemas.microsoft.com/office/2006/metadata/properties" xmlns:ns2="4315fb67-519e-4616-947a-3076539a5839" targetNamespace="http://schemas.microsoft.com/office/2006/metadata/properties" ma:root="true" ma:fieldsID="e8a1b51020b384bd81573df5eccbb05c" ns2:_="">
    <xsd:import namespace="4315fb67-519e-4616-947a-3076539a58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2.xml><?xml version="1.0" encoding="utf-8"?>
<ds:datastoreItem xmlns:ds="http://schemas.openxmlformats.org/officeDocument/2006/customXml" ds:itemID="{52B5AF2A-CFAE-42AA-8B74-F9241248C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A69B47-8109-419D-9DA7-32C86C4FB97F}">
  <ds:schemaRefs>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 ds:uri="4315fb67-519e-4616-947a-3076539a583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Cathrine Aunvik</dc:creator>
  <cp:keywords/>
  <dc:description/>
  <cp:lastModifiedBy>Mona Horneberg Selnæs</cp:lastModifiedBy>
  <cp:revision/>
  <dcterms:created xsi:type="dcterms:W3CDTF">2017-08-15T12:23:16Z</dcterms:created>
  <dcterms:modified xsi:type="dcterms:W3CDTF">2022-10-27T13:10:19Z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