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bnbankno.sharepoint.com/sites/TS_Okonomi-rsrapporter/Shared Documents/Årsrapporter/2021 Kvartalsrapport Q3/"/>
    </mc:Choice>
  </mc:AlternateContent>
  <xr:revisionPtr revIDLastSave="0" documentId="8_{99513AD0-F2D8-4F4C-8AFA-C93FF07A3F7C}" xr6:coauthVersionLast="47" xr6:coauthVersionMax="47" xr10:uidLastSave="{00000000-0000-0000-0000-000000000000}"/>
  <bookViews>
    <workbookView xWindow="-120" yWindow="-120" windowWidth="29040" windowHeight="1764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definisjoner'!$A$1:$B$27</definedName>
    <definedName name="_xlnm.Print_Area" localSheetId="1">'APM utregning'!$A$1:$I$147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1" i="2" l="1"/>
  <c r="B119" i="2"/>
  <c r="B142" i="2" l="1"/>
  <c r="B121" i="2"/>
  <c r="C80" i="2"/>
  <c r="C81" i="2" s="1"/>
  <c r="C83" i="2" s="1"/>
  <c r="D80" i="2"/>
  <c r="D81" i="2" s="1"/>
  <c r="D83" i="2" s="1"/>
  <c r="E80" i="2"/>
  <c r="F80" i="2"/>
  <c r="G80" i="2"/>
  <c r="H80" i="2"/>
  <c r="I80" i="2"/>
  <c r="B80" i="2"/>
  <c r="B30" i="2"/>
  <c r="B88" i="2" l="1"/>
  <c r="B62" i="2"/>
  <c r="B63" i="2" s="1"/>
  <c r="B55" i="2"/>
  <c r="B49" i="2"/>
  <c r="B50" i="2" s="1"/>
  <c r="B52" i="2" s="1"/>
  <c r="B32" i="2"/>
  <c r="B33" i="2" s="1"/>
  <c r="B23" i="2"/>
  <c r="B20" i="2"/>
  <c r="B6" i="2"/>
  <c r="B14" i="2" s="1"/>
  <c r="B82" i="2" l="1"/>
  <c r="B25" i="2"/>
  <c r="H63" i="2"/>
  <c r="G63" i="2"/>
  <c r="D63" i="2"/>
  <c r="E63" i="2"/>
  <c r="H23" i="2"/>
  <c r="G23" i="2"/>
  <c r="F23" i="2"/>
  <c r="E23" i="2"/>
  <c r="I141" i="2"/>
  <c r="I142" i="2" s="1"/>
  <c r="F141" i="2"/>
  <c r="F142" i="2" s="1"/>
  <c r="G141" i="2"/>
  <c r="G142" i="2" s="1"/>
  <c r="H141" i="2"/>
  <c r="H142" i="2" s="1"/>
  <c r="E141" i="2" l="1"/>
  <c r="E142" i="2" s="1"/>
  <c r="D141" i="2"/>
  <c r="D142" i="2" s="1"/>
  <c r="D104" i="2" l="1"/>
  <c r="D108" i="2"/>
  <c r="D107" i="2"/>
  <c r="D95" i="2"/>
  <c r="D97" i="2" s="1"/>
  <c r="I32" i="2"/>
  <c r="H32" i="2"/>
  <c r="G32" i="2"/>
  <c r="F32" i="2"/>
  <c r="E32" i="2"/>
  <c r="D32" i="2"/>
  <c r="D109" i="2" l="1"/>
  <c r="D111" i="2" s="1"/>
  <c r="B144" i="2"/>
  <c r="B145" i="2" s="1"/>
  <c r="B146" i="2" s="1"/>
  <c r="F89" i="2" l="1"/>
  <c r="E89" i="2"/>
  <c r="H20" i="2"/>
  <c r="H131" i="2" l="1"/>
  <c r="H119" i="2"/>
  <c r="D131" i="2"/>
  <c r="G131" i="2"/>
  <c r="B122" i="2"/>
  <c r="B123" i="2" s="1"/>
  <c r="D126" i="2"/>
  <c r="B126" i="2"/>
  <c r="D129" i="2"/>
  <c r="D133" i="2" s="1"/>
  <c r="D117" i="2"/>
  <c r="D144" i="2"/>
  <c r="B124" i="2" l="1"/>
  <c r="D124" i="2"/>
  <c r="D145" i="2"/>
  <c r="D146" i="2" s="1"/>
  <c r="D134" i="2"/>
  <c r="D135" i="2" s="1"/>
  <c r="D121" i="2"/>
  <c r="D122" i="2" s="1"/>
  <c r="D123" i="2" s="1"/>
  <c r="B125" i="2"/>
  <c r="D125" i="2"/>
  <c r="B108" i="2"/>
  <c r="B107" i="2"/>
  <c r="B66" i="2"/>
  <c r="B89" i="2" s="1"/>
  <c r="B133" i="2" l="1"/>
  <c r="B45" i="2" l="1"/>
  <c r="B37" i="2"/>
  <c r="B39" i="2" s="1"/>
  <c r="B36" i="2"/>
  <c r="B40" i="2" l="1"/>
  <c r="B134" i="2"/>
  <c r="B135" i="2" s="1"/>
  <c r="B109" i="2"/>
  <c r="B100" i="2"/>
  <c r="B102" i="2" s="1"/>
  <c r="B96" i="2"/>
  <c r="B95" i="2"/>
  <c r="B69" i="2"/>
  <c r="B72" i="2" s="1"/>
  <c r="B79" i="2" s="1"/>
  <c r="B81" i="2" s="1"/>
  <c r="B83" i="2" s="1"/>
  <c r="B10" i="2"/>
  <c r="H55" i="2"/>
  <c r="B97" i="2" l="1"/>
  <c r="B90" i="2"/>
  <c r="B110" i="2"/>
  <c r="B111" i="2" s="1"/>
  <c r="H144" i="2"/>
  <c r="I121" i="2" l="1"/>
  <c r="I122" i="2" s="1"/>
  <c r="I123" i="2" s="1"/>
  <c r="F121" i="2"/>
  <c r="F122" i="2" s="1"/>
  <c r="F123" i="2" s="1"/>
  <c r="G121" i="2"/>
  <c r="G122" i="2" s="1"/>
  <c r="G123" i="2" s="1"/>
  <c r="E121" i="2"/>
  <c r="E122" i="2" s="1"/>
  <c r="E123" i="2" s="1"/>
  <c r="I133" i="2" l="1"/>
  <c r="I134" i="2" s="1"/>
  <c r="I135" i="2" s="1"/>
  <c r="F133" i="2"/>
  <c r="F134" i="2" s="1"/>
  <c r="F135" i="2" s="1"/>
  <c r="G133" i="2"/>
  <c r="G134" i="2" s="1"/>
  <c r="G135" i="2" s="1"/>
  <c r="H133" i="2"/>
  <c r="H134" i="2" s="1"/>
  <c r="H135" i="2" s="1"/>
  <c r="E133" i="2"/>
  <c r="E134" i="2" s="1"/>
  <c r="E135" i="2" s="1"/>
  <c r="I144" i="2"/>
  <c r="I145" i="2" s="1"/>
  <c r="I146" i="2" s="1"/>
  <c r="F144" i="2"/>
  <c r="G144" i="2"/>
  <c r="G145" i="2" s="1"/>
  <c r="G146" i="2" s="1"/>
  <c r="H145" i="2"/>
  <c r="H146" i="2" s="1"/>
  <c r="E144" i="2"/>
  <c r="E145" i="2" s="1"/>
  <c r="E146" i="2" s="1"/>
  <c r="H121" i="2" l="1"/>
  <c r="H122" i="2" s="1"/>
  <c r="H123" i="2" s="1"/>
  <c r="F145" i="2"/>
  <c r="F146" i="2" s="1"/>
  <c r="I109" i="2" l="1"/>
  <c r="H109" i="2"/>
  <c r="G109" i="2"/>
  <c r="F109" i="2"/>
  <c r="E109" i="2"/>
  <c r="I100" i="2"/>
  <c r="I102" i="2" s="1"/>
  <c r="I104" i="2" s="1"/>
  <c r="H100" i="2"/>
  <c r="E100" i="2"/>
  <c r="I95" i="2"/>
  <c r="H95" i="2"/>
  <c r="G95" i="2"/>
  <c r="F95" i="2"/>
  <c r="E95" i="2"/>
  <c r="H96" i="2"/>
  <c r="G96" i="2"/>
  <c r="F96" i="2"/>
  <c r="E96" i="2"/>
  <c r="I88" i="2"/>
  <c r="I90" i="2" s="1"/>
  <c r="G86" i="2"/>
  <c r="F86" i="2" s="1"/>
  <c r="F88" i="2" s="1"/>
  <c r="H89" i="2"/>
  <c r="G89" i="2"/>
  <c r="H88" i="2"/>
  <c r="E88" i="2"/>
  <c r="E97" i="2" l="1"/>
  <c r="F100" i="2"/>
  <c r="H97" i="2"/>
  <c r="G100" i="2"/>
  <c r="F97" i="2"/>
  <c r="G97" i="2"/>
  <c r="G88" i="2"/>
  <c r="G90" i="2" s="1"/>
  <c r="E90" i="2"/>
  <c r="H90" i="2"/>
  <c r="F90" i="2"/>
  <c r="I75" i="2" l="1"/>
  <c r="H75" i="2"/>
  <c r="G75" i="2"/>
  <c r="F75" i="2"/>
  <c r="I69" i="2" l="1"/>
  <c r="I72" i="2" s="1"/>
  <c r="I110" i="2" s="1"/>
  <c r="I111" i="2" s="1"/>
  <c r="H69" i="2"/>
  <c r="G69" i="2"/>
  <c r="F69" i="2"/>
  <c r="E69" i="2"/>
  <c r="F63" i="2"/>
  <c r="G72" i="2" l="1"/>
  <c r="E72" i="2"/>
  <c r="F72" i="2"/>
  <c r="H72" i="2"/>
  <c r="H103" i="2" s="1"/>
  <c r="E73" i="2"/>
  <c r="E75" i="2" s="1"/>
  <c r="I74" i="2"/>
  <c r="I76" i="2" s="1"/>
  <c r="I79" i="2"/>
  <c r="I81" i="2" s="1"/>
  <c r="F110" i="2" l="1"/>
  <c r="F111" i="2" s="1"/>
  <c r="B73" i="2"/>
  <c r="B75" i="2" s="1"/>
  <c r="E79" i="2"/>
  <c r="E103" i="2"/>
  <c r="F79" i="2"/>
  <c r="F81" i="2" s="1"/>
  <c r="F74" i="2"/>
  <c r="F76" i="2" s="1"/>
  <c r="G110" i="2"/>
  <c r="G111" i="2" s="1"/>
  <c r="H110" i="2"/>
  <c r="H111" i="2" s="1"/>
  <c r="E110" i="2"/>
  <c r="E111" i="2" s="1"/>
  <c r="H79" i="2"/>
  <c r="H81" i="2" s="1"/>
  <c r="H74" i="2"/>
  <c r="H76" i="2" s="1"/>
  <c r="G79" i="2"/>
  <c r="G81" i="2" s="1"/>
  <c r="G74" i="2"/>
  <c r="G76" i="2" s="1"/>
  <c r="G55" i="2"/>
  <c r="H82" i="2"/>
  <c r="H83" i="2" s="1"/>
  <c r="I55" i="2"/>
  <c r="I82" i="2" s="1"/>
  <c r="I83" i="2" s="1"/>
  <c r="F55" i="2"/>
  <c r="E55" i="2"/>
  <c r="E82" i="2" s="1"/>
  <c r="E50" i="2"/>
  <c r="E52" i="2" s="1"/>
  <c r="H50" i="2"/>
  <c r="H52" i="2" s="1"/>
  <c r="G50" i="2"/>
  <c r="G52" i="2" s="1"/>
  <c r="H45" i="2"/>
  <c r="G45" i="2"/>
  <c r="B103" i="2" l="1"/>
  <c r="E81" i="2"/>
  <c r="E83" i="2"/>
  <c r="F82" i="2"/>
  <c r="F83" i="2" s="1"/>
  <c r="B56" i="2"/>
  <c r="B57" i="2" s="1"/>
  <c r="B59" i="2" s="1"/>
  <c r="G82" i="2"/>
  <c r="G83" i="2" s="1"/>
  <c r="B104" i="2"/>
  <c r="B74" i="2"/>
  <c r="B76" i="2" s="1"/>
  <c r="I50" i="2"/>
  <c r="I52" i="2" s="1"/>
  <c r="I96" i="2"/>
  <c r="I97" i="2" s="1"/>
  <c r="I57" i="2"/>
  <c r="I59" i="2" s="1"/>
  <c r="F50" i="2"/>
  <c r="F52" i="2" s="1"/>
  <c r="I45" i="2" l="1"/>
  <c r="F45" i="2"/>
  <c r="I39" i="2"/>
  <c r="I40" i="2" s="1"/>
  <c r="H39" i="2"/>
  <c r="H40" i="2" s="1"/>
  <c r="G39" i="2"/>
  <c r="F39" i="2"/>
  <c r="E39" i="2"/>
  <c r="E40" i="2" s="1"/>
  <c r="G36" i="2"/>
  <c r="F36" i="2"/>
  <c r="I33" i="2"/>
  <c r="F28" i="2"/>
  <c r="G28" i="2"/>
  <c r="I20" i="2"/>
  <c r="I25" i="2" s="1"/>
  <c r="F19" i="2"/>
  <c r="G19" i="2"/>
  <c r="E20" i="2"/>
  <c r="I15" i="2"/>
  <c r="I6" i="2"/>
  <c r="I14" i="2" s="1"/>
  <c r="H6" i="2"/>
  <c r="H14" i="2" s="1"/>
  <c r="G6" i="2"/>
  <c r="G14" i="2" s="1"/>
  <c r="F6" i="2"/>
  <c r="F14" i="2" s="1"/>
  <c r="I10" i="2"/>
  <c r="G20" i="2" l="1"/>
  <c r="G25" i="2" s="1"/>
  <c r="F20" i="2"/>
  <c r="F25" i="2" s="1"/>
  <c r="E25" i="2"/>
  <c r="F40" i="2"/>
  <c r="G40" i="2"/>
  <c r="H25" i="2"/>
  <c r="I16" i="2"/>
  <c r="F10" i="2" l="1"/>
  <c r="G10" i="2"/>
  <c r="H10" i="2"/>
  <c r="H12" i="2" s="1"/>
  <c r="H15" i="2" s="1"/>
  <c r="H16" i="2" s="1"/>
  <c r="F33" i="2"/>
  <c r="G33" i="2"/>
  <c r="H33" i="2"/>
  <c r="H57" i="2"/>
  <c r="H59" i="2" s="1"/>
  <c r="G103" i="2"/>
  <c r="F102" i="2"/>
  <c r="G102" i="2"/>
  <c r="H102" i="2"/>
  <c r="H104" i="2" l="1"/>
  <c r="G104" i="2"/>
  <c r="G12" i="2"/>
  <c r="G15" i="2" s="1"/>
  <c r="G16" i="2" s="1"/>
  <c r="F12" i="2"/>
  <c r="F15" i="2" s="1"/>
  <c r="F16" i="2" s="1"/>
  <c r="F103" i="2"/>
  <c r="F104" i="2" l="1"/>
  <c r="E56" i="2"/>
  <c r="E74" i="2" l="1"/>
  <c r="E76" i="2" l="1"/>
  <c r="G57" i="2"/>
  <c r="G59" i="2" s="1"/>
  <c r="F57" i="2" l="1"/>
  <c r="F59" i="2" s="1"/>
  <c r="E102" i="2" l="1"/>
  <c r="E45" i="2"/>
  <c r="E57" i="2" l="1"/>
  <c r="E59" i="2" s="1"/>
  <c r="E104" i="2"/>
  <c r="E10" i="2"/>
  <c r="B12" i="2" s="1"/>
  <c r="E12" i="2" l="1"/>
  <c r="B15" i="2"/>
  <c r="B16" i="2" s="1"/>
  <c r="E33" i="2"/>
  <c r="E15" i="2" l="1"/>
  <c r="E6" i="2" l="1"/>
  <c r="E14" i="2" s="1"/>
  <c r="E16" i="2" s="1"/>
</calcChain>
</file>

<file path=xl/sharedStrings.xml><?xml version="1.0" encoding="utf-8"?>
<sst xmlns="http://schemas.openxmlformats.org/spreadsheetml/2006/main" count="135" uniqueCount="117">
  <si>
    <t>Tapsprosent utlån</t>
  </si>
  <si>
    <t>Begrunnelse og definisjon</t>
  </si>
  <si>
    <t xml:space="preserve">Alternative Resultatmål (APM'er) </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</si>
  <si>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</si>
  <si>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</si>
  <si>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</si>
  <si>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</si>
  <si>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</si>
  <si>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</si>
  <si>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</si>
  <si>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</si>
  <si>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</si>
  <si>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</si>
  <si>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Periodens res. annualisert Eks. renter hybridkapital</t>
  </si>
  <si>
    <t>Sum driftskostnader</t>
  </si>
  <si>
    <t>Kostnadsprosent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</si>
  <si>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</si>
  <si>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</si>
  <si>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</si>
  <si>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</si>
  <si>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Misligholdte engasjement i prosent av brutto utlån inkl. SB1 Boligkreditt og SB1 Næringskreditt</t>
  </si>
  <si>
    <t>Delt på snitt. Brutto utlån til kunder inkl. SB1 Boligkreditt og SB1 Næringskreditt</t>
  </si>
  <si>
    <t>Tapsprosent utlån til kunder</t>
  </si>
  <si>
    <t>Tap på utlån annualisert</t>
  </si>
  <si>
    <t>Innskudd fra kunder ved utgangen av perioden</t>
  </si>
  <si>
    <t>Innskuddsvekst (mill)</t>
  </si>
  <si>
    <t>Innskuddsvekst siste 12 mnd</t>
  </si>
  <si>
    <t>3 måneders pengemarkedsrenter (Nibor), mill kroner</t>
  </si>
  <si>
    <t>Fratrukket brutto utlån til kunder inkl SB1 Boligkreditt og SB1 Næringskreditt ved utgangen samme periode forrige år (kvartal)</t>
  </si>
  <si>
    <t>Delt på Brutto utlån til kunder inkl SB1 Boligkreditt og SB1 Næringskreditt ved utgangen samme periode forrige år (kvartal)</t>
  </si>
  <si>
    <t>Innskudd fra kunder ved utgangen av samme periode forrige år (kvartal)</t>
  </si>
  <si>
    <t xml:space="preserve">Alternative resultatmål i BN Bank med definisjoner: </t>
  </si>
  <si>
    <t>Egenkapitalrentabilitet</t>
  </si>
  <si>
    <t>Egenkapitalrentabilitet gir relevant informasjon om lønnsomheten i BN Bank ved å måle evne til å genere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</si>
  <si>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Rentenetto</t>
  </si>
  <si>
    <t>Nøkkeltallet gir informasjon om hvor stor andel netto rente- og kredittprovisjonsinntekter utgjør av gjennomsnittlig forvaltningskapital i perioden.</t>
  </si>
  <si>
    <t xml:space="preserve">Kostnadsprosent er inkludert for å gi informasjon om sammenhengen mellom inntekter og kostnader, og er vurdert å være et av de viktigste finansielle måltall i BN Bank. Beregnes som sum driftskostnader dividert med sum inntekter. </t>
  </si>
  <si>
    <t>Kostnadsprosent justert for egenkapitalpåslag og avkastning i Sparebank 1 Næringskreditt</t>
  </si>
  <si>
    <t xml:space="preserve">Innskuddsdekning  </t>
  </si>
  <si>
    <t>Andel utlån finansiert via innskudd</t>
  </si>
  <si>
    <t>Innskuddsdekning beregnes som andel innskudd fra kunder i prosent av netto utlån til kunder. Måltallet gir relevant informasjon om likviditeten til BN Bank.</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</si>
  <si>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</si>
  <si>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 xml:space="preserve">Nøkkeltallet gir et bilde på utviklingen i bankens innskuddsvolum og beregnes som innskudd fra kunder ved utløpet av perioden minus innskudd fra kunder ved starten av perioden, dividert på innskudd fra kunder ved starten av perioden. </t>
  </si>
  <si>
    <t>Utlånsvekst (brutto) siste 12 måneder</t>
  </si>
  <si>
    <t>Dette er et av de viktigste måltallene for BN Bank og gir informasjon om aktivitet og vekst i bankens utlånsvirksomhet. Nøkkeltallet beregnes som brutto utlån ved utløpet av perioden minus brutto utlån ved starte på perioden delt å brutto utlån ved starten på perioden.</t>
  </si>
  <si>
    <t>Gjennomsnittlig forvaltningskapital</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</si>
  <si>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</si>
  <si>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</si>
  <si>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Som en del av strategien for finansiering av utlån  overfører BN Bank en vesentlig andel av sine utlån til næringseiendom til kredittforetaket Sparebank 1 Næringskreditt, se note 8 i årsrapporten for nærmere beskrivelse. BN Bank forvalter disse utlånene og et viktig internt måltall er derfor kostnadsprosent justert for egenkapitalpåslag og avkastning fra SB1 Næringskreditt. Dette beregnes som ovenfor, men he rer inntektene oppjustert med egenkapitalpåslag og avkastning  fra SB1 Næringskreditt.</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</si>
  <si>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 beregnes som brutto utlån i BN Bank pluss brutto utlån i SB1 Boligkreditt pluss brutto ulån i SB 1 Næringskreditt.</t>
  </si>
  <si>
    <t>Brutto utlån inklusive utlån solgt til SB1 Boligkreditt og SB1 Næringskreditt</t>
  </si>
  <si>
    <t>Utlånsvekst (brutto) siste 12 mnd inklusive SB1 Boligkreditt og SB1 Næringskreditt</t>
  </si>
  <si>
    <t xml:space="preserve">Dette er et av de viktigste måltallene for BN Bank og gir informasjon om aktivitet og vekst i bankens totale utlånsvirksomhet inlise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</si>
  <si>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i % av brutto utlån</t>
  </si>
  <si>
    <t>Tapsprosent utlån inklusive utlån overført til  SB1 Boligkreditt og SB1 Næringskreditt</t>
  </si>
  <si>
    <t>Misligholdte og andre tapsutsatte engasjement i % av brutto utlån inklusive utlån overført til  SB1 Boligkreditt og SB1 Næringskreditt</t>
  </si>
  <si>
    <t>Netto rente- og kredittprovisjonsinntekter</t>
  </si>
  <si>
    <t>Annualisert beløp</t>
  </si>
  <si>
    <t>Gjennomsnitlig forvaltningskapital</t>
  </si>
  <si>
    <t>Forvaltningskapital</t>
  </si>
  <si>
    <t>EK-påslag og avkastning Egenkapital SB1 Næringskreditt</t>
  </si>
  <si>
    <t>SUM inntekter</t>
  </si>
  <si>
    <t>Kostnadsprosent inkl egenakpitalpåslag og avkatning på egenkapital SB1 Næringskreditt</t>
  </si>
  <si>
    <t>Innskuddsdekning</t>
  </si>
  <si>
    <t>Netto utlån til kunder</t>
  </si>
  <si>
    <t>Sum inntekter inkl EK-påslag og avkastning EK</t>
  </si>
  <si>
    <t>Utlånsvekst i millioner kroner</t>
  </si>
  <si>
    <t>Utlånsvekst siste 12 mnd</t>
  </si>
  <si>
    <t>Brutto utlån til kunder ved utgangen av perioden</t>
  </si>
  <si>
    <t>Brutto utlån til kunder ved utgangen av samme periode forrige år</t>
  </si>
  <si>
    <t>Gjennomsnittlig forvaltningskapital inneværende år</t>
  </si>
  <si>
    <t>Nøkkeltallet beregnes som et gjennomsnitt av kvartalsvis forvaltningskapital inneværende år.</t>
  </si>
  <si>
    <t>Overført til Sparebank 1 Boligkreditt AS (jfr. note 7)</t>
  </si>
  <si>
    <t>Overført til Sparebank 1 Næringskreditt AS (jfr. note 7)</t>
  </si>
  <si>
    <t>Brutto utlån BN Bank ASA (jfr. note 7)</t>
  </si>
  <si>
    <t>Andel utlån finansiert via innskudd, inklusive utlån solgt til SB1 Boligkreditt og SB1 Næringskreditt</t>
  </si>
  <si>
    <t>Innskudd ved utgangen av perioden</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</si>
  <si>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</si>
  <si>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Tap på utlån i resultatet</t>
  </si>
  <si>
    <t>Forholdstallet presenteres fordi det gir relevant informasjon om bankens kreditteksponering. Beregnes som sum misligholdte  og andre tapsutsatte engasjement dividert med sum utlån ved utløpet av perioden.</t>
  </si>
  <si>
    <t>SUM Misligholdte og øvrig tapsutsatte utlån</t>
  </si>
  <si>
    <t>Brutto mislighold over 90 dager (jfr. note 6)</t>
  </si>
  <si>
    <t>Brutto Øvrig tapsutsatte utlån (jfr. note 6)</t>
  </si>
  <si>
    <t>Delt på snitt. Brutto utlån til kunder</t>
  </si>
  <si>
    <t>Tapsprosent utlån til kunder, inklusive utlån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</si>
  <si>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</si>
  <si>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</si>
  <si>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Renter på Utlån til Bedriftsmarked, bankbalansen, mill kroner</t>
  </si>
  <si>
    <t>Renter på Utlån til Bedriftsmarked, Sparebank 1 Næringskreditt, mill kroner</t>
  </si>
  <si>
    <t>Dager akkumulert</t>
  </si>
  <si>
    <t>3 måneders Nibor, prosent, gjennomsnitt akkumulert</t>
  </si>
  <si>
    <t>Snitt utlånsvolum Bedriftsmarked, bankbalansen, mill kroner</t>
  </si>
  <si>
    <t>Snitt utlånsvolum Bedriftsmarked, Sparebank 1 Næringskreditt, mill kroner</t>
  </si>
  <si>
    <t>Rentemargin, mill kroner</t>
  </si>
  <si>
    <t>Snitt utlånsvolum Personmarked, bankbalansen, mill kroner</t>
  </si>
  <si>
    <t>Renter på Utlån til Personmarked, bankbalansen, mill kroner</t>
  </si>
  <si>
    <t>Snitt utlånsvolum Personmarked, Sparebank 1 Boligkreditt, mill kroner</t>
  </si>
  <si>
    <t>Renter på Utlån til Personmarked, Sparebank 1 Boligkreditt, mill kroner</t>
  </si>
  <si>
    <t>Renter på Innskudd</t>
  </si>
  <si>
    <t>Rentemargin på innskudd, mill kroner</t>
  </si>
  <si>
    <t>Snitt innskuddsvolum, mill kroner</t>
  </si>
  <si>
    <t>Andre inntekter</t>
  </si>
  <si>
    <t>Rentekostnader og lignende kostnader</t>
  </si>
  <si>
    <t>Renter på ustedte verdipapirer, etc</t>
  </si>
  <si>
    <t>Utlånsmargin mot 3 måneders nibor - Privatmarked, prosent</t>
  </si>
  <si>
    <t>Utlånsmargin mot 3 måneders nibor - Næringsliv, prosent</t>
  </si>
  <si>
    <t xml:space="preserve">Innskuddsmargin mot 3 måneders nibor </t>
  </si>
  <si>
    <t>Innskuddsmarginer målt mot 3 måneders Nibor</t>
  </si>
  <si>
    <t>Utlånsmargin Bedriftsmarked og Personmarked målt mot 3 måneders Nibor, inkludet utlån solgt til Sparebank 1 Boligkreditt (SB1 BK) og Sparebank 1 Næringskreditt (SB1 NK).</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</si>
  <si>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</si>
  <si>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</si>
  <si>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</si>
  <si>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</si>
  <si>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Nettoutlån til kunder inkl SB1 Boligkreditt og SB1 Næringskreditt ved utgangen av perioden</t>
  </si>
  <si>
    <t>Netto tapsavsetning</t>
  </si>
  <si>
    <t xml:space="preserve">Delt på brutto utlån til kunder </t>
  </si>
  <si>
    <t xml:space="preserve">Misligholdte engasjement i prosent av brutto utlån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</si>
</sst>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85">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2" borderId="0" xfId="0" applyFont="1" applyFill="1" applyBorder="1" applyAlignment="1"/>
    <xf numFmtId="0" fontId="2" fillId="3" borderId="0" xfId="0" applyFont="1" applyFill="1" applyBorder="1" applyAlignment="1"/>
    <xf numFmtId="0" fontId="2" fillId="2" borderId="0" xfId="0" applyFont="1" applyFill="1" applyBorder="1" applyAlignment="1">
      <alignment wrapText="1"/>
    </xf>
    <xf numFmtId="0" fontId="3" fillId="0" borderId="0" xfId="0" applyNumberFormat="1"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0" fillId="0" borderId="0" xfId="0" applyFill="1"/>
    <xf numFmtId="0" fontId="1" fillId="5" borderId="6" xfId="0" applyFont="1" applyFill="1" applyBorder="1" applyAlignment="1">
      <alignment wrapText="1"/>
    </xf>
    <xf numFmtId="0" fontId="1" fillId="5" borderId="5" xfId="0" applyFont="1" applyFill="1" applyBorder="1" applyAlignment="1">
      <alignment wrapText="1"/>
    </xf>
    <xf numFmtId="165" fontId="6" fillId="4" borderId="5" xfId="2" applyNumberFormat="1" applyFont="1" applyFill="1" applyBorder="1"/>
    <xf numFmtId="0" fontId="8" fillId="0" borderId="0" xfId="0" applyFont="1"/>
    <xf numFmtId="0" fontId="8" fillId="0" borderId="0" xfId="0" applyFont="1" applyBorder="1"/>
    <xf numFmtId="43" fontId="8" fillId="0" borderId="0" xfId="0" applyNumberFormat="1" applyFont="1"/>
    <xf numFmtId="0" fontId="8" fillId="0" borderId="0" xfId="0" applyFont="1" applyFill="1"/>
    <xf numFmtId="165" fontId="6" fillId="5" borderId="5" xfId="2" applyNumberFormat="1" applyFont="1" applyFill="1" applyBorder="1"/>
    <xf numFmtId="10" fontId="6" fillId="5" borderId="6" xfId="2" applyNumberFormat="1" applyFont="1" applyFill="1" applyBorder="1"/>
    <xf numFmtId="10" fontId="6" fillId="5" borderId="5" xfId="2" applyNumberFormat="1" applyFont="1" applyFill="1" applyBorder="1"/>
    <xf numFmtId="0" fontId="2" fillId="0" borderId="0" xfId="0" applyFont="1"/>
    <xf numFmtId="0" fontId="2" fillId="0" borderId="0" xfId="0" applyFont="1" applyBorder="1"/>
    <xf numFmtId="0" fontId="2" fillId="0" borderId="0" xfId="0" applyFont="1" applyFill="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0" fontId="0" fillId="0" borderId="0" xfId="0" applyAlignment="1">
      <alignment horizontal="left" wrapText="1"/>
    </xf>
    <xf numFmtId="165" fontId="6" fillId="5" borderId="6" xfId="2" applyNumberFormat="1"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0" fontId="1" fillId="5" borderId="5" xfId="0" applyFont="1" applyFill="1" applyBorder="1" applyAlignment="1"/>
    <xf numFmtId="9" fontId="6" fillId="5" borderId="6" xfId="2" applyFont="1" applyFill="1" applyBorder="1" applyAlignment="1"/>
    <xf numFmtId="0" fontId="2" fillId="0" borderId="0" xfId="0" applyFont="1" applyAlignment="1"/>
    <xf numFmtId="0" fontId="2" fillId="0" borderId="1" xfId="0" applyFont="1" applyBorder="1" applyAlignment="1"/>
    <xf numFmtId="10" fontId="2" fillId="0" borderId="0" xfId="2" applyNumberFormat="1" applyFont="1"/>
    <xf numFmtId="0" fontId="2" fillId="0" borderId="0" xfId="0" applyFont="1" applyFill="1" applyAlignment="1"/>
    <xf numFmtId="0" fontId="1" fillId="0" borderId="7" xfId="0" applyFont="1" applyFill="1" applyBorder="1" applyAlignment="1"/>
    <xf numFmtId="165" fontId="6" fillId="0" borderId="7" xfId="2" applyNumberFormat="1" applyFont="1" applyFill="1" applyBorder="1"/>
    <xf numFmtId="0" fontId="0" fillId="0" borderId="0" xfId="0" applyFill="1" applyBorder="1"/>
    <xf numFmtId="165" fontId="9" fillId="0" borderId="7" xfId="2" applyNumberFormat="1" applyFont="1" applyFill="1" applyBorder="1"/>
    <xf numFmtId="0" fontId="10" fillId="0" borderId="0" xfId="0" applyFont="1" applyFill="1" applyAlignment="1"/>
    <xf numFmtId="10" fontId="10" fillId="0" borderId="0" xfId="2" applyNumberFormat="1" applyFont="1"/>
    <xf numFmtId="0" fontId="10" fillId="0" borderId="0" xfId="0" applyFont="1" applyFill="1"/>
    <xf numFmtId="0" fontId="0" fillId="0" borderId="0" xfId="0" applyAlignment="1">
      <alignment horizontal="left" wrapText="1"/>
    </xf>
    <xf numFmtId="0" fontId="0" fillId="0" borderId="0" xfId="0" applyFont="1" applyAlignment="1">
      <alignment horizontal="left" wrapText="1"/>
    </xf>
    <xf numFmtId="0" fontId="2" fillId="2" borderId="8" xfId="0" applyFont="1" applyFill="1" applyBorder="1" applyAlignment="1"/>
    <xf numFmtId="0" fontId="0" fillId="0" borderId="0" xfId="0" applyBorder="1" applyAlignment="1">
      <alignment horizontal="left" wrapText="1"/>
    </xf>
    <xf numFmtId="0" fontId="0" fillId="0" borderId="0" xfId="0" applyFill="1" applyBorder="1" applyAlignment="1"/>
    <xf numFmtId="164" fontId="6" fillId="5" borderId="6" xfId="1" applyNumberFormat="1" applyFont="1" applyFill="1" applyBorder="1"/>
    <xf numFmtId="0" fontId="6" fillId="0" borderId="0" xfId="0" applyFont="1" applyFill="1" applyBorder="1" applyAlignment="1"/>
    <xf numFmtId="10" fontId="11" fillId="0" borderId="0" xfId="2" applyNumberFormat="1" applyFont="1" applyFill="1" applyBorder="1"/>
    <xf numFmtId="10" fontId="6" fillId="0" borderId="0" xfId="2" applyNumberFormat="1" applyFont="1" applyFill="1" applyBorder="1"/>
    <xf numFmtId="0" fontId="6" fillId="0" borderId="0" xfId="0" applyFont="1" applyFill="1"/>
    <xf numFmtId="4" fontId="10" fillId="0" borderId="0" xfId="0" applyNumberFormat="1" applyFont="1" applyFill="1"/>
    <xf numFmtId="4" fontId="2" fillId="0" borderId="0" xfId="0" applyNumberFormat="1" applyFont="1" applyFill="1"/>
    <xf numFmtId="0" fontId="2" fillId="0" borderId="1" xfId="0" applyFont="1" applyFill="1" applyBorder="1" applyAlignment="1"/>
    <xf numFmtId="10" fontId="10" fillId="0" borderId="0" xfId="2" applyNumberFormat="1" applyFont="1" applyFill="1"/>
    <xf numFmtId="10" fontId="2" fillId="0" borderId="0" xfId="2" applyNumberFormat="1" applyFont="1" applyFill="1"/>
    <xf numFmtId="0" fontId="1" fillId="0" borderId="0" xfId="0"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0" fontId="0" fillId="0" borderId="0" xfId="0" applyFill="1" applyAlignment="1">
      <alignment horizontal="left"/>
    </xf>
    <xf numFmtId="0" fontId="0" fillId="0" borderId="1" xfId="0" applyFill="1" applyBorder="1" applyAlignment="1"/>
    <xf numFmtId="164" fontId="2" fillId="0" borderId="1" xfId="1" applyNumberFormat="1" applyFont="1" applyFill="1" applyBorder="1"/>
    <xf numFmtId="164" fontId="5" fillId="0" borderId="0" xfId="1" applyNumberFormat="1" applyFont="1" applyFill="1"/>
    <xf numFmtId="164" fontId="2" fillId="0" borderId="1" xfId="0" applyNumberFormat="1" applyFont="1" applyFill="1" applyBorder="1"/>
    <xf numFmtId="164" fontId="2" fillId="0" borderId="0" xfId="1" applyNumberFormat="1" applyFont="1" applyFill="1" applyBorder="1"/>
    <xf numFmtId="164" fontId="2" fillId="0" borderId="0" xfId="0" applyNumberFormat="1" applyFont="1" applyFill="1"/>
    <xf numFmtId="164" fontId="8" fillId="0" borderId="0" xfId="1" applyNumberFormat="1"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3" totalsRowShown="0" dataDxfId="2">
  <autoFilter ref="A5:B23"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zoomScaleNormal="100" workbookViewId="0">
      <selection activeCell="A3" sqref="A3:B3"/>
    </sheetView>
  </sheetViews>
  <sheetFormatPr baseColWidth="10" defaultColWidth="11.42578125" defaultRowHeight="15" x14ac:dyDescent="0.25"/>
  <cols>
    <col min="1" max="1" width="54.85546875" customWidth="1"/>
    <col min="2" max="2" width="112.140625" customWidth="1"/>
  </cols>
  <sheetData>
    <row r="1" spans="1:4" ht="18.75" x14ac:dyDescent="0.3">
      <c r="A1" s="8" t="s">
        <v>2</v>
      </c>
      <c r="C1" s="15"/>
      <c r="D1" s="15"/>
    </row>
    <row r="2" spans="1:4" s="2" customFormat="1" ht="54.75" customHeight="1" x14ac:dyDescent="0.25">
      <c r="A2" s="84" t="s">
        <v>112</v>
      </c>
      <c r="B2" s="84"/>
      <c r="C2" s="76"/>
      <c r="D2" s="76"/>
    </row>
    <row r="3" spans="1:4" ht="33" customHeight="1" x14ac:dyDescent="0.25">
      <c r="A3" s="84" t="s">
        <v>111</v>
      </c>
      <c r="B3" s="84"/>
      <c r="C3" s="15"/>
      <c r="D3" s="15"/>
    </row>
    <row r="4" spans="1:4" ht="33" customHeight="1" x14ac:dyDescent="0.25">
      <c r="A4" s="4"/>
      <c r="B4" s="4"/>
    </row>
    <row r="5" spans="1:4" x14ac:dyDescent="0.25">
      <c r="A5" s="3" t="s">
        <v>31</v>
      </c>
      <c r="B5" s="3" t="s">
        <v>1</v>
      </c>
    </row>
    <row r="6" spans="1:4" ht="60" customHeight="1" x14ac:dyDescent="0.25">
      <c r="A6" s="5" t="s">
        <v>32</v>
      </c>
      <c r="B6" s="4" t="s">
        <v>33</v>
      </c>
    </row>
    <row r="7" spans="1:4" ht="44.25" customHeight="1" x14ac:dyDescent="0.25">
      <c r="A7" s="6" t="s">
        <v>34</v>
      </c>
      <c r="B7" s="4" t="s">
        <v>35</v>
      </c>
    </row>
    <row r="8" spans="1:4" ht="42.75" customHeight="1" x14ac:dyDescent="0.25">
      <c r="A8" s="5" t="s">
        <v>15</v>
      </c>
      <c r="B8" s="55" t="s">
        <v>36</v>
      </c>
    </row>
    <row r="9" spans="1:4" ht="75" x14ac:dyDescent="0.25">
      <c r="A9" s="7" t="s">
        <v>37</v>
      </c>
      <c r="B9" s="55" t="s">
        <v>48</v>
      </c>
    </row>
    <row r="10" spans="1:4" ht="33" customHeight="1" x14ac:dyDescent="0.25">
      <c r="A10" s="5" t="s">
        <v>38</v>
      </c>
      <c r="B10" s="4" t="s">
        <v>40</v>
      </c>
      <c r="C10" s="1"/>
    </row>
    <row r="11" spans="1:4" ht="47.25" customHeight="1" thickBot="1" x14ac:dyDescent="0.3">
      <c r="A11" s="57" t="s">
        <v>43</v>
      </c>
      <c r="B11" s="55" t="s">
        <v>44</v>
      </c>
      <c r="C11" s="55"/>
    </row>
    <row r="12" spans="1:4" ht="47.25" customHeight="1" x14ac:dyDescent="0.25">
      <c r="A12" s="7" t="s">
        <v>26</v>
      </c>
      <c r="B12" s="55" t="s">
        <v>42</v>
      </c>
      <c r="C12" s="55"/>
    </row>
    <row r="13" spans="1:4" x14ac:dyDescent="0.25">
      <c r="A13" s="7" t="s">
        <v>45</v>
      </c>
      <c r="B13" s="4" t="s">
        <v>71</v>
      </c>
    </row>
    <row r="14" spans="1:4" ht="30.75" thickBot="1" x14ac:dyDescent="0.3">
      <c r="A14" s="57" t="s">
        <v>46</v>
      </c>
      <c r="B14" s="55" t="s">
        <v>47</v>
      </c>
    </row>
    <row r="15" spans="1:4" ht="60" x14ac:dyDescent="0.25">
      <c r="A15" s="7" t="s">
        <v>50</v>
      </c>
      <c r="B15" s="32" t="s">
        <v>49</v>
      </c>
    </row>
    <row r="16" spans="1:4" ht="105" x14ac:dyDescent="0.25">
      <c r="A16" s="7" t="s">
        <v>51</v>
      </c>
      <c r="B16" s="55" t="s">
        <v>52</v>
      </c>
    </row>
    <row r="17" spans="1:3" ht="45" x14ac:dyDescent="0.25">
      <c r="A17" s="7" t="s">
        <v>39</v>
      </c>
      <c r="B17" s="55" t="s">
        <v>41</v>
      </c>
    </row>
    <row r="18" spans="1:3" ht="45" x14ac:dyDescent="0.25">
      <c r="A18" s="5" t="s">
        <v>0</v>
      </c>
      <c r="B18" s="55" t="s">
        <v>86</v>
      </c>
    </row>
    <row r="19" spans="1:3" ht="47.25" customHeight="1" x14ac:dyDescent="0.25">
      <c r="A19" s="7" t="s">
        <v>53</v>
      </c>
      <c r="B19" s="55" t="s">
        <v>79</v>
      </c>
    </row>
    <row r="20" spans="1:3" ht="60" x14ac:dyDescent="0.25">
      <c r="A20" s="7" t="s">
        <v>54</v>
      </c>
      <c r="B20" s="4" t="s">
        <v>85</v>
      </c>
    </row>
    <row r="21" spans="1:3" ht="46.5" customHeight="1" x14ac:dyDescent="0.25">
      <c r="A21" s="7" t="s">
        <v>55</v>
      </c>
      <c r="B21" s="4" t="s">
        <v>77</v>
      </c>
    </row>
    <row r="22" spans="1:3" ht="90" x14ac:dyDescent="0.25">
      <c r="A22" s="7" t="s">
        <v>108</v>
      </c>
      <c r="B22" s="56" t="s">
        <v>109</v>
      </c>
      <c r="C22" s="15"/>
    </row>
    <row r="23" spans="1:3" ht="60" x14ac:dyDescent="0.25">
      <c r="A23" s="5" t="s">
        <v>107</v>
      </c>
      <c r="B23" s="58" t="s">
        <v>110</v>
      </c>
      <c r="C23" s="15"/>
    </row>
    <row r="24" spans="1:3" x14ac:dyDescent="0.25">
      <c r="A24" s="9"/>
    </row>
    <row r="25" spans="1:3" x14ac:dyDescent="0.25">
      <c r="A25" s="9"/>
    </row>
    <row r="26" spans="1:3" x14ac:dyDescent="0.25">
      <c r="A26" s="10"/>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7"/>
  <sheetViews>
    <sheetView tabSelected="1" zoomScale="110" zoomScaleNormal="11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J1" sqref="J1:U1048576"/>
    </sheetView>
  </sheetViews>
  <sheetFormatPr baseColWidth="10" defaultColWidth="11.42578125" defaultRowHeight="15" x14ac:dyDescent="0.25"/>
  <cols>
    <col min="1" max="1" width="74.42578125" style="35" customWidth="1"/>
    <col min="2" max="8" width="18" style="19" customWidth="1"/>
    <col min="9" max="9" width="18" style="26" customWidth="1"/>
  </cols>
  <sheetData>
    <row r="1" spans="1:9" s="14" customFormat="1" x14ac:dyDescent="0.25">
      <c r="A1" s="34" t="s">
        <v>10</v>
      </c>
      <c r="B1" s="29">
        <v>44469</v>
      </c>
      <c r="C1" s="29">
        <v>44377</v>
      </c>
      <c r="D1" s="29">
        <v>44286</v>
      </c>
      <c r="E1" s="29">
        <v>44196</v>
      </c>
      <c r="F1" s="29">
        <v>44104</v>
      </c>
      <c r="G1" s="29">
        <v>44012</v>
      </c>
      <c r="H1" s="29">
        <v>43921</v>
      </c>
      <c r="I1" s="29">
        <v>43830</v>
      </c>
    </row>
    <row r="3" spans="1:9" x14ac:dyDescent="0.25">
      <c r="A3" s="36"/>
      <c r="B3" s="20"/>
      <c r="C3" s="20"/>
      <c r="D3" s="20"/>
      <c r="E3" s="20"/>
      <c r="F3" s="20"/>
      <c r="G3" s="20"/>
      <c r="H3" s="20"/>
      <c r="I3" s="27"/>
    </row>
    <row r="4" spans="1:9" x14ac:dyDescent="0.25">
      <c r="A4" s="36" t="s">
        <v>3</v>
      </c>
      <c r="B4" s="81">
        <v>356</v>
      </c>
      <c r="C4" s="81">
        <v>239</v>
      </c>
      <c r="D4" s="81">
        <v>117</v>
      </c>
      <c r="E4" s="81">
        <v>354</v>
      </c>
      <c r="F4" s="81">
        <v>249</v>
      </c>
      <c r="G4" s="81">
        <v>150</v>
      </c>
      <c r="H4" s="81">
        <v>69</v>
      </c>
      <c r="I4" s="81">
        <v>327</v>
      </c>
    </row>
    <row r="5" spans="1:9" x14ac:dyDescent="0.25">
      <c r="A5" s="37" t="s">
        <v>4</v>
      </c>
      <c r="B5" s="78">
        <v>7</v>
      </c>
      <c r="C5" s="78">
        <v>5</v>
      </c>
      <c r="D5" s="78">
        <v>2</v>
      </c>
      <c r="E5" s="78">
        <v>11</v>
      </c>
      <c r="F5" s="78">
        <v>8</v>
      </c>
      <c r="G5" s="78">
        <v>6</v>
      </c>
      <c r="H5" s="78">
        <v>3</v>
      </c>
      <c r="I5" s="78">
        <v>14</v>
      </c>
    </row>
    <row r="6" spans="1:9" x14ac:dyDescent="0.25">
      <c r="A6" s="36" t="s">
        <v>5</v>
      </c>
      <c r="B6" s="81">
        <f>B4-B5</f>
        <v>349</v>
      </c>
      <c r="C6" s="81">
        <v>234</v>
      </c>
      <c r="D6" s="81">
        <v>115</v>
      </c>
      <c r="E6" s="81">
        <f t="shared" ref="E6:I6" si="0">E4-E5</f>
        <v>343</v>
      </c>
      <c r="F6" s="81">
        <f t="shared" si="0"/>
        <v>241</v>
      </c>
      <c r="G6" s="81">
        <f t="shared" si="0"/>
        <v>144</v>
      </c>
      <c r="H6" s="81">
        <f t="shared" si="0"/>
        <v>66</v>
      </c>
      <c r="I6" s="81">
        <f t="shared" si="0"/>
        <v>313</v>
      </c>
    </row>
    <row r="7" spans="1:9" x14ac:dyDescent="0.25">
      <c r="A7" s="36"/>
      <c r="B7" s="81"/>
      <c r="C7" s="81"/>
      <c r="D7" s="81"/>
      <c r="E7" s="83"/>
      <c r="F7" s="83"/>
      <c r="G7" s="83"/>
      <c r="H7" s="81"/>
      <c r="I7" s="81"/>
    </row>
    <row r="8" spans="1:9" x14ac:dyDescent="0.25">
      <c r="A8" s="36" t="s">
        <v>6</v>
      </c>
      <c r="B8" s="81">
        <v>4896</v>
      </c>
      <c r="C8" s="81">
        <v>4782</v>
      </c>
      <c r="D8" s="81">
        <v>4664</v>
      </c>
      <c r="E8" s="81">
        <v>4549</v>
      </c>
      <c r="F8" s="81">
        <v>4444</v>
      </c>
      <c r="G8" s="81">
        <v>4342</v>
      </c>
      <c r="H8" s="81">
        <v>4259</v>
      </c>
      <c r="I8" s="81">
        <v>4297</v>
      </c>
    </row>
    <row r="9" spans="1:9" x14ac:dyDescent="0.25">
      <c r="A9" s="37" t="s">
        <v>7</v>
      </c>
      <c r="B9" s="78">
        <v>226</v>
      </c>
      <c r="C9" s="78">
        <v>226</v>
      </c>
      <c r="D9" s="78">
        <v>226</v>
      </c>
      <c r="E9" s="78">
        <v>226</v>
      </c>
      <c r="F9" s="78">
        <v>226</v>
      </c>
      <c r="G9" s="78">
        <v>226</v>
      </c>
      <c r="H9" s="78">
        <v>227</v>
      </c>
      <c r="I9" s="78">
        <v>227</v>
      </c>
    </row>
    <row r="10" spans="1:9" x14ac:dyDescent="0.25">
      <c r="A10" s="36" t="s">
        <v>8</v>
      </c>
      <c r="B10" s="81">
        <f t="shared" ref="B10" si="1">B8-B9</f>
        <v>4670</v>
      </c>
      <c r="C10" s="81">
        <v>4556</v>
      </c>
      <c r="D10" s="81">
        <v>4438</v>
      </c>
      <c r="E10" s="81">
        <f t="shared" ref="E10" si="2">E8-E9</f>
        <v>4323</v>
      </c>
      <c r="F10" s="81">
        <f t="shared" ref="F10" si="3">F8-F9</f>
        <v>4218</v>
      </c>
      <c r="G10" s="81">
        <f t="shared" ref="G10:I10" si="4">G8-G9</f>
        <v>4116</v>
      </c>
      <c r="H10" s="81">
        <f t="shared" si="4"/>
        <v>4032</v>
      </c>
      <c r="I10" s="81">
        <f t="shared" si="4"/>
        <v>4070</v>
      </c>
    </row>
    <row r="11" spans="1:9" x14ac:dyDescent="0.25">
      <c r="A11" s="36"/>
      <c r="B11" s="81"/>
      <c r="C11" s="81"/>
      <c r="D11" s="81"/>
      <c r="E11" s="83"/>
      <c r="F11" s="83"/>
      <c r="G11" s="83"/>
      <c r="H11" s="81"/>
      <c r="I11" s="81"/>
    </row>
    <row r="12" spans="1:9" x14ac:dyDescent="0.25">
      <c r="A12" s="36" t="s">
        <v>11</v>
      </c>
      <c r="B12" s="81">
        <f>AVERAGE(B10:E10)</f>
        <v>4496.75</v>
      </c>
      <c r="C12" s="81">
        <v>4439</v>
      </c>
      <c r="D12" s="81">
        <v>4380.5</v>
      </c>
      <c r="E12" s="81">
        <f>(E10+G10+F10+H10+I10)/5</f>
        <v>4151.8</v>
      </c>
      <c r="F12" s="81">
        <f>(F10+H10+G10+I10)/4</f>
        <v>4109</v>
      </c>
      <c r="G12" s="81">
        <f>(G10+I10+H10)/3</f>
        <v>4072.6666666666665</v>
      </c>
      <c r="H12" s="81">
        <f>(H10+I10)/2</f>
        <v>4051</v>
      </c>
      <c r="I12" s="81">
        <v>3909</v>
      </c>
    </row>
    <row r="13" spans="1:9" x14ac:dyDescent="0.25">
      <c r="A13" s="36"/>
      <c r="B13" s="83"/>
      <c r="C13" s="83"/>
      <c r="D13" s="83"/>
      <c r="E13" s="81"/>
      <c r="F13" s="83"/>
      <c r="G13" s="83"/>
      <c r="H13" s="83"/>
      <c r="I13" s="81"/>
    </row>
    <row r="14" spans="1:9" x14ac:dyDescent="0.25">
      <c r="A14" s="36" t="s">
        <v>13</v>
      </c>
      <c r="B14" s="81">
        <f>B6/3*4</f>
        <v>465.33333333333331</v>
      </c>
      <c r="C14" s="81">
        <v>468</v>
      </c>
      <c r="D14" s="81">
        <v>460</v>
      </c>
      <c r="E14" s="81">
        <f>E6/4*4</f>
        <v>343</v>
      </c>
      <c r="F14" s="81">
        <f>F6/3*4</f>
        <v>321.33333333333331</v>
      </c>
      <c r="G14" s="81">
        <f>G6*2</f>
        <v>288</v>
      </c>
      <c r="H14" s="81">
        <f>H6*4</f>
        <v>264</v>
      </c>
      <c r="I14" s="81">
        <f>+I6</f>
        <v>313</v>
      </c>
    </row>
    <row r="15" spans="1:9" x14ac:dyDescent="0.25">
      <c r="A15" s="37" t="s">
        <v>12</v>
      </c>
      <c r="B15" s="78">
        <f>B12</f>
        <v>4496.75</v>
      </c>
      <c r="C15" s="78">
        <v>4439</v>
      </c>
      <c r="D15" s="78">
        <v>4380.5</v>
      </c>
      <c r="E15" s="78">
        <f t="shared" ref="E15" si="5">E12</f>
        <v>4151.8</v>
      </c>
      <c r="F15" s="78">
        <f t="shared" ref="F15" si="6">F12</f>
        <v>4109</v>
      </c>
      <c r="G15" s="78">
        <f t="shared" ref="G15:H15" si="7">G12</f>
        <v>4072.6666666666665</v>
      </c>
      <c r="H15" s="78">
        <f t="shared" si="7"/>
        <v>4051</v>
      </c>
      <c r="I15" s="78">
        <f t="shared" ref="I15" si="8">I12</f>
        <v>3909</v>
      </c>
    </row>
    <row r="16" spans="1:9" ht="15.75" thickBot="1" x14ac:dyDescent="0.3">
      <c r="A16" s="38" t="s">
        <v>9</v>
      </c>
      <c r="B16" s="18">
        <f>B14/B15</f>
        <v>0.10348214451177702</v>
      </c>
      <c r="C16" s="18">
        <v>0.10642915070961928</v>
      </c>
      <c r="D16" s="18">
        <v>0.10501084351101472</v>
      </c>
      <c r="E16" s="18">
        <f>E14/E15</f>
        <v>8.2614769497567311E-2</v>
      </c>
      <c r="F16" s="18">
        <f>F14/F15</f>
        <v>7.820232011032692E-2</v>
      </c>
      <c r="G16" s="18">
        <f>G14/G15</f>
        <v>7.0715338025863481E-2</v>
      </c>
      <c r="H16" s="18">
        <f t="shared" ref="H16:I16" si="9">H14/H15</f>
        <v>6.5169094050851639E-2</v>
      </c>
      <c r="I16" s="18">
        <f t="shared" si="9"/>
        <v>8.0071629572780759E-2</v>
      </c>
    </row>
    <row r="17" spans="1:9" s="50" customFormat="1" x14ac:dyDescent="0.25">
      <c r="A17" s="48"/>
      <c r="B17" s="51"/>
      <c r="C17" s="51"/>
      <c r="D17" s="51"/>
      <c r="E17" s="51"/>
      <c r="F17" s="51"/>
      <c r="G17" s="51"/>
      <c r="H17" s="51"/>
      <c r="I17" s="49"/>
    </row>
    <row r="19" spans="1:9" x14ac:dyDescent="0.25">
      <c r="A19" s="59" t="s">
        <v>56</v>
      </c>
      <c r="B19" s="81">
        <v>529</v>
      </c>
      <c r="C19" s="81">
        <v>352</v>
      </c>
      <c r="D19" s="81">
        <v>171</v>
      </c>
      <c r="E19" s="81">
        <v>671</v>
      </c>
      <c r="F19" s="81">
        <f>335+166</f>
        <v>501</v>
      </c>
      <c r="G19" s="81">
        <f>177+158</f>
        <v>335</v>
      </c>
      <c r="H19" s="81">
        <v>177</v>
      </c>
      <c r="I19" s="81">
        <v>630</v>
      </c>
    </row>
    <row r="20" spans="1:9" x14ac:dyDescent="0.25">
      <c r="A20" s="59" t="s">
        <v>57</v>
      </c>
      <c r="B20" s="82">
        <f>+B19/3*4</f>
        <v>705.33333333333337</v>
      </c>
      <c r="C20" s="82">
        <v>704</v>
      </c>
      <c r="D20" s="82">
        <v>684</v>
      </c>
      <c r="E20" s="82">
        <f>+E19</f>
        <v>671</v>
      </c>
      <c r="F20" s="82">
        <f>+F19/3*4</f>
        <v>668</v>
      </c>
      <c r="G20" s="82">
        <f>+G19*2</f>
        <v>670</v>
      </c>
      <c r="H20" s="82">
        <f>+H19*4</f>
        <v>708</v>
      </c>
      <c r="I20" s="82">
        <f>+I19</f>
        <v>630</v>
      </c>
    </row>
    <row r="21" spans="1:9" x14ac:dyDescent="0.25">
      <c r="B21" s="22"/>
      <c r="C21" s="22"/>
      <c r="D21" s="22"/>
      <c r="E21" s="22"/>
      <c r="F21" s="22"/>
      <c r="G21" s="22"/>
      <c r="H21" s="22"/>
      <c r="I21" s="28"/>
    </row>
    <row r="22" spans="1:9" x14ac:dyDescent="0.25">
      <c r="A22" s="35" t="s">
        <v>59</v>
      </c>
      <c r="B22" s="81">
        <v>40482</v>
      </c>
      <c r="C22" s="81">
        <v>38202</v>
      </c>
      <c r="D22" s="81">
        <v>36797</v>
      </c>
      <c r="E22" s="81">
        <v>35767</v>
      </c>
      <c r="F22" s="81">
        <v>34871</v>
      </c>
      <c r="G22" s="81">
        <v>33816</v>
      </c>
      <c r="H22" s="81">
        <v>33303</v>
      </c>
      <c r="I22" s="81">
        <v>31917</v>
      </c>
    </row>
    <row r="23" spans="1:9" x14ac:dyDescent="0.25">
      <c r="A23" s="35" t="s">
        <v>58</v>
      </c>
      <c r="B23" s="81">
        <f>AVERAGE(B22:E22)</f>
        <v>37812</v>
      </c>
      <c r="C23" s="81">
        <v>36922</v>
      </c>
      <c r="D23" s="81">
        <v>36282</v>
      </c>
      <c r="E23" s="81">
        <f>AVERAGE(E22:I22)</f>
        <v>33934.800000000003</v>
      </c>
      <c r="F23" s="81">
        <f>AVERAGE(F22:I22)</f>
        <v>33476.75</v>
      </c>
      <c r="G23" s="81">
        <f>AVERAGE(G22:I22)</f>
        <v>33012</v>
      </c>
      <c r="H23" s="81">
        <f>AVERAGE(H22:I22)</f>
        <v>32610</v>
      </c>
      <c r="I23" s="82">
        <v>30314.6</v>
      </c>
    </row>
    <row r="24" spans="1:9" x14ac:dyDescent="0.25">
      <c r="E24" s="21"/>
      <c r="F24" s="21"/>
      <c r="G24" s="21"/>
    </row>
    <row r="25" spans="1:9" ht="15.75" thickBot="1" x14ac:dyDescent="0.3">
      <c r="A25" s="41" t="s">
        <v>34</v>
      </c>
      <c r="B25" s="24">
        <f>+B20/B23</f>
        <v>1.8653690186536905E-2</v>
      </c>
      <c r="C25" s="24">
        <v>1.9067222793998157E-2</v>
      </c>
      <c r="D25" s="24">
        <v>1.8852323466181577E-2</v>
      </c>
      <c r="E25" s="24">
        <f t="shared" ref="E25:I25" si="10">+E20/E23</f>
        <v>1.9773212159788771E-2</v>
      </c>
      <c r="F25" s="24">
        <f t="shared" si="10"/>
        <v>1.995414728132211E-2</v>
      </c>
      <c r="G25" s="24">
        <f t="shared" si="10"/>
        <v>2.0295650066642433E-2</v>
      </c>
      <c r="H25" s="24">
        <f t="shared" si="10"/>
        <v>2.1711131554737809E-2</v>
      </c>
      <c r="I25" s="24">
        <f t="shared" si="10"/>
        <v>2.0782065407427445E-2</v>
      </c>
    </row>
    <row r="26" spans="1:9" x14ac:dyDescent="0.25">
      <c r="E26" s="21"/>
      <c r="F26" s="21"/>
      <c r="G26" s="21"/>
    </row>
    <row r="27" spans="1:9" x14ac:dyDescent="0.25">
      <c r="E27" s="21"/>
      <c r="F27" s="21"/>
      <c r="G27" s="21"/>
    </row>
    <row r="28" spans="1:9" x14ac:dyDescent="0.25">
      <c r="A28" s="35" t="s">
        <v>14</v>
      </c>
      <c r="B28" s="30">
        <v>215</v>
      </c>
      <c r="C28" s="30">
        <v>143</v>
      </c>
      <c r="D28" s="30">
        <v>71</v>
      </c>
      <c r="E28" s="30">
        <v>292</v>
      </c>
      <c r="F28" s="30">
        <f>141+70</f>
        <v>211</v>
      </c>
      <c r="G28" s="30">
        <f>74+67</f>
        <v>141</v>
      </c>
      <c r="H28" s="30">
        <v>74</v>
      </c>
      <c r="I28" s="30">
        <v>284</v>
      </c>
    </row>
    <row r="29" spans="1:9" x14ac:dyDescent="0.25">
      <c r="B29" s="30"/>
      <c r="C29" s="30"/>
      <c r="D29" s="30"/>
      <c r="E29" s="30"/>
      <c r="F29" s="30"/>
      <c r="G29" s="30"/>
      <c r="H29" s="30"/>
      <c r="I29" s="30"/>
    </row>
    <row r="30" spans="1:9" x14ac:dyDescent="0.25">
      <c r="A30" s="35" t="s">
        <v>56</v>
      </c>
      <c r="B30" s="30">
        <f>+B19</f>
        <v>529</v>
      </c>
      <c r="C30" s="30">
        <v>352</v>
      </c>
      <c r="D30" s="30">
        <v>171</v>
      </c>
      <c r="E30" s="30">
        <v>671</v>
      </c>
      <c r="F30" s="30">
        <v>501</v>
      </c>
      <c r="G30" s="30">
        <v>335</v>
      </c>
      <c r="H30" s="30">
        <v>177</v>
      </c>
      <c r="I30" s="30">
        <v>630</v>
      </c>
    </row>
    <row r="31" spans="1:9" x14ac:dyDescent="0.25">
      <c r="A31" s="40" t="s">
        <v>101</v>
      </c>
      <c r="B31" s="78">
        <v>134</v>
      </c>
      <c r="C31" s="78">
        <v>84</v>
      </c>
      <c r="D31" s="78">
        <v>41</v>
      </c>
      <c r="E31" s="78">
        <v>163</v>
      </c>
      <c r="F31" s="78">
        <v>112</v>
      </c>
      <c r="G31" s="78">
        <v>63</v>
      </c>
      <c r="H31" s="78">
        <v>28</v>
      </c>
      <c r="I31" s="78">
        <v>126</v>
      </c>
    </row>
    <row r="32" spans="1:9" x14ac:dyDescent="0.25">
      <c r="A32" s="77" t="s">
        <v>61</v>
      </c>
      <c r="B32" s="78">
        <f>SUM(B30:B31)</f>
        <v>663</v>
      </c>
      <c r="C32" s="78">
        <v>436</v>
      </c>
      <c r="D32" s="78">
        <f t="shared" ref="D32:I32" si="11">SUM(D30:D31)</f>
        <v>212</v>
      </c>
      <c r="E32" s="78">
        <f t="shared" si="11"/>
        <v>834</v>
      </c>
      <c r="F32" s="78">
        <f t="shared" si="11"/>
        <v>613</v>
      </c>
      <c r="G32" s="78">
        <f t="shared" si="11"/>
        <v>398</v>
      </c>
      <c r="H32" s="78">
        <f t="shared" si="11"/>
        <v>205</v>
      </c>
      <c r="I32" s="78">
        <f t="shared" si="11"/>
        <v>756</v>
      </c>
    </row>
    <row r="33" spans="1:9" s="3" customFormat="1" ht="15.75" thickBot="1" x14ac:dyDescent="0.3">
      <c r="A33" s="41" t="s">
        <v>15</v>
      </c>
      <c r="B33" s="33">
        <f>B28/B32</f>
        <v>0.32428355957767724</v>
      </c>
      <c r="C33" s="33">
        <v>0.32798165137614677</v>
      </c>
      <c r="D33" s="33">
        <v>0.33490566037735847</v>
      </c>
      <c r="E33" s="33">
        <f t="shared" ref="E33" si="12">E28/E32</f>
        <v>0.3501199040767386</v>
      </c>
      <c r="F33" s="33">
        <f t="shared" ref="F33" si="13">F28/F32</f>
        <v>0.3442088091353997</v>
      </c>
      <c r="G33" s="33">
        <f t="shared" ref="G33:I33" si="14">G28/G32</f>
        <v>0.35427135678391958</v>
      </c>
      <c r="H33" s="33">
        <f t="shared" si="14"/>
        <v>0.36097560975609755</v>
      </c>
      <c r="I33" s="33">
        <f t="shared" si="14"/>
        <v>0.37566137566137564</v>
      </c>
    </row>
    <row r="36" spans="1:9" x14ac:dyDescent="0.25">
      <c r="A36" s="35" t="s">
        <v>14</v>
      </c>
      <c r="B36" s="30">
        <f>+B28</f>
        <v>215</v>
      </c>
      <c r="C36" s="30">
        <v>143</v>
      </c>
      <c r="D36" s="30">
        <v>71</v>
      </c>
      <c r="E36" s="30">
        <v>292</v>
      </c>
      <c r="F36" s="30">
        <f>141+70</f>
        <v>211</v>
      </c>
      <c r="G36" s="30">
        <f>74+67</f>
        <v>141</v>
      </c>
      <c r="H36" s="30">
        <v>74</v>
      </c>
      <c r="I36" s="30">
        <v>284</v>
      </c>
    </row>
    <row r="37" spans="1:9" x14ac:dyDescent="0.25">
      <c r="A37" s="35" t="s">
        <v>61</v>
      </c>
      <c r="B37" s="30">
        <f>+B32</f>
        <v>663</v>
      </c>
      <c r="C37" s="30">
        <v>436</v>
      </c>
      <c r="D37" s="30">
        <v>212</v>
      </c>
      <c r="E37" s="30">
        <v>834</v>
      </c>
      <c r="F37" s="30">
        <v>613</v>
      </c>
      <c r="G37" s="30">
        <v>398</v>
      </c>
      <c r="H37" s="30">
        <v>205</v>
      </c>
      <c r="I37" s="30">
        <v>756</v>
      </c>
    </row>
    <row r="38" spans="1:9" x14ac:dyDescent="0.25">
      <c r="A38" s="40" t="s">
        <v>60</v>
      </c>
      <c r="B38" s="78">
        <v>51.9</v>
      </c>
      <c r="C38" s="78">
        <v>35.6</v>
      </c>
      <c r="D38" s="78">
        <v>18.3</v>
      </c>
      <c r="E38" s="78">
        <v>64.599999999999994</v>
      </c>
      <c r="F38" s="78">
        <v>45.3</v>
      </c>
      <c r="G38" s="78">
        <v>29.4</v>
      </c>
      <c r="H38" s="78">
        <v>15.3</v>
      </c>
      <c r="I38" s="78">
        <v>51.9</v>
      </c>
    </row>
    <row r="39" spans="1:9" x14ac:dyDescent="0.25">
      <c r="A39" s="40" t="s">
        <v>65</v>
      </c>
      <c r="B39" s="12">
        <f>+B37+B38</f>
        <v>714.9</v>
      </c>
      <c r="C39" s="12">
        <v>471.6</v>
      </c>
      <c r="D39" s="12">
        <v>230.3</v>
      </c>
      <c r="E39" s="12">
        <f t="shared" ref="E39:I39" si="15">+E37+E38</f>
        <v>898.6</v>
      </c>
      <c r="F39" s="12">
        <f t="shared" si="15"/>
        <v>658.3</v>
      </c>
      <c r="G39" s="12">
        <f t="shared" si="15"/>
        <v>427.4</v>
      </c>
      <c r="H39" s="12">
        <f t="shared" si="15"/>
        <v>220.3</v>
      </c>
      <c r="I39" s="12">
        <f t="shared" si="15"/>
        <v>807.9</v>
      </c>
    </row>
    <row r="40" spans="1:9" ht="30.75" thickBot="1" x14ac:dyDescent="0.3">
      <c r="A40" s="16" t="s">
        <v>62</v>
      </c>
      <c r="B40" s="33">
        <f>B36/B39</f>
        <v>0.30074136242831168</v>
      </c>
      <c r="C40" s="33">
        <v>0.30322307039864288</v>
      </c>
      <c r="D40" s="33">
        <v>0.30829353017802863</v>
      </c>
      <c r="E40" s="33">
        <f>E36/E39</f>
        <v>0.32494992210104606</v>
      </c>
      <c r="F40" s="33">
        <f t="shared" ref="F40" si="16">F36/F39</f>
        <v>0.32052255810420782</v>
      </c>
      <c r="G40" s="33">
        <f t="shared" ref="G40" si="17">G36/G39</f>
        <v>0.32990173139915774</v>
      </c>
      <c r="H40" s="33">
        <f t="shared" ref="H40" si="18">H36/H39</f>
        <v>0.33590558329550613</v>
      </c>
      <c r="I40" s="33">
        <f t="shared" ref="I40" si="19">I36/I39</f>
        <v>0.35152865453645255</v>
      </c>
    </row>
    <row r="43" spans="1:9" x14ac:dyDescent="0.25">
      <c r="A43" s="35" t="s">
        <v>16</v>
      </c>
      <c r="B43" s="30">
        <v>21233</v>
      </c>
      <c r="C43" s="30">
        <v>19140</v>
      </c>
      <c r="D43" s="30">
        <v>18122</v>
      </c>
      <c r="E43" s="30">
        <v>17627</v>
      </c>
      <c r="F43" s="30">
        <v>17334</v>
      </c>
      <c r="G43" s="30">
        <v>16810</v>
      </c>
      <c r="H43" s="30">
        <v>15953</v>
      </c>
      <c r="I43" s="30">
        <v>15360</v>
      </c>
    </row>
    <row r="44" spans="1:9" x14ac:dyDescent="0.25">
      <c r="A44" s="40" t="s">
        <v>64</v>
      </c>
      <c r="B44" s="78">
        <v>31092</v>
      </c>
      <c r="C44" s="78">
        <v>30728</v>
      </c>
      <c r="D44" s="78">
        <v>29351</v>
      </c>
      <c r="E44" s="78">
        <v>28069</v>
      </c>
      <c r="F44" s="78">
        <v>27360</v>
      </c>
      <c r="G44" s="78">
        <v>26218</v>
      </c>
      <c r="H44" s="78">
        <v>25612</v>
      </c>
      <c r="I44" s="78">
        <v>25503</v>
      </c>
    </row>
    <row r="45" spans="1:9" ht="15.75" thickBot="1" x14ac:dyDescent="0.3">
      <c r="A45" s="43" t="s">
        <v>63</v>
      </c>
      <c r="B45" s="33">
        <f>B43/B44</f>
        <v>0.68290878682619327</v>
      </c>
      <c r="C45" s="33">
        <v>0.62288466545170529</v>
      </c>
      <c r="D45" s="33">
        <v>0.61742359715171546</v>
      </c>
      <c r="E45" s="33">
        <f>E43/E44</f>
        <v>0.62798817200470269</v>
      </c>
      <c r="F45" s="33">
        <f>F43/F44</f>
        <v>0.63355263157894737</v>
      </c>
      <c r="G45" s="33">
        <f>G43/G44-0.001</f>
        <v>0.64016256007323213</v>
      </c>
      <c r="H45" s="33">
        <f>H43/H44-0.001</f>
        <v>0.62187209120724662</v>
      </c>
      <c r="I45" s="33">
        <f>I43/I44-0.001</f>
        <v>0.60128208446065168</v>
      </c>
    </row>
    <row r="48" spans="1:9" x14ac:dyDescent="0.25">
      <c r="A48" s="44" t="s">
        <v>68</v>
      </c>
      <c r="B48" s="82">
        <v>31207</v>
      </c>
      <c r="C48" s="82">
        <v>30843</v>
      </c>
      <c r="D48" s="82">
        <v>29474</v>
      </c>
      <c r="E48" s="82">
        <v>28222</v>
      </c>
      <c r="F48" s="82">
        <v>27519</v>
      </c>
      <c r="G48" s="82">
        <v>26406</v>
      </c>
      <c r="H48" s="82">
        <v>25792</v>
      </c>
      <c r="I48" s="82">
        <v>25642</v>
      </c>
    </row>
    <row r="49" spans="1:9" x14ac:dyDescent="0.25">
      <c r="A49" s="45" t="s">
        <v>69</v>
      </c>
      <c r="B49" s="80">
        <f>+F48</f>
        <v>27519</v>
      </c>
      <c r="C49" s="80">
        <v>26406</v>
      </c>
      <c r="D49" s="80">
        <v>25792</v>
      </c>
      <c r="E49" s="80">
        <v>25642</v>
      </c>
      <c r="F49" s="80">
        <v>25443</v>
      </c>
      <c r="G49" s="80">
        <v>23292</v>
      </c>
      <c r="H49" s="80">
        <v>22318</v>
      </c>
      <c r="I49" s="80">
        <v>22294</v>
      </c>
    </row>
    <row r="50" spans="1:9" x14ac:dyDescent="0.25">
      <c r="A50" s="44" t="s">
        <v>66</v>
      </c>
      <c r="B50" s="30">
        <f>B48-B49</f>
        <v>3688</v>
      </c>
      <c r="C50" s="30">
        <v>4437</v>
      </c>
      <c r="D50" s="30">
        <v>3682</v>
      </c>
      <c r="E50" s="30">
        <f t="shared" ref="E50:I50" si="20">E48-E49</f>
        <v>2580</v>
      </c>
      <c r="F50" s="30">
        <f t="shared" si="20"/>
        <v>2076</v>
      </c>
      <c r="G50" s="30">
        <f t="shared" si="20"/>
        <v>3114</v>
      </c>
      <c r="H50" s="30">
        <f t="shared" si="20"/>
        <v>3474</v>
      </c>
      <c r="I50" s="30">
        <f t="shared" si="20"/>
        <v>3348</v>
      </c>
    </row>
    <row r="51" spans="1:9" x14ac:dyDescent="0.25">
      <c r="A51" s="44"/>
      <c r="E51" s="26"/>
    </row>
    <row r="52" spans="1:9" ht="15.75" thickBot="1" x14ac:dyDescent="0.3">
      <c r="A52" s="41" t="s">
        <v>67</v>
      </c>
      <c r="B52" s="33">
        <f>B50/B49</f>
        <v>0.13401649769250337</v>
      </c>
      <c r="C52" s="33">
        <v>0.16802999318336742</v>
      </c>
      <c r="D52" s="33">
        <v>0.14275744416873448</v>
      </c>
      <c r="E52" s="33">
        <f t="shared" ref="E52:H52" si="21">E50/E49</f>
        <v>0.10061617658528976</v>
      </c>
      <c r="F52" s="33">
        <f t="shared" si="21"/>
        <v>8.1594151633062134E-2</v>
      </c>
      <c r="G52" s="33">
        <f t="shared" si="21"/>
        <v>0.13369397217928902</v>
      </c>
      <c r="H52" s="33">
        <f t="shared" si="21"/>
        <v>0.15565910923917914</v>
      </c>
      <c r="I52" s="33">
        <f>I50/I49</f>
        <v>0.15017493496007894</v>
      </c>
    </row>
    <row r="54" spans="1:9" x14ac:dyDescent="0.25">
      <c r="B54" s="75"/>
      <c r="C54" s="75"/>
    </row>
    <row r="55" spans="1:9" x14ac:dyDescent="0.25">
      <c r="A55" s="44" t="s">
        <v>24</v>
      </c>
      <c r="B55" s="82">
        <f>+B43</f>
        <v>21233</v>
      </c>
      <c r="C55" s="82">
        <v>19140</v>
      </c>
      <c r="D55" s="82">
        <v>18122</v>
      </c>
      <c r="E55" s="82">
        <f>+E43</f>
        <v>17627</v>
      </c>
      <c r="F55" s="82">
        <f>+F43</f>
        <v>17334</v>
      </c>
      <c r="G55" s="82">
        <f t="shared" ref="G55:I55" si="22">+G43</f>
        <v>16810</v>
      </c>
      <c r="H55" s="82">
        <f>+H43</f>
        <v>15953</v>
      </c>
      <c r="I55" s="82">
        <f t="shared" si="22"/>
        <v>15360</v>
      </c>
    </row>
    <row r="56" spans="1:9" x14ac:dyDescent="0.25">
      <c r="A56" s="45" t="s">
        <v>30</v>
      </c>
      <c r="B56" s="80">
        <f>+F55</f>
        <v>17334</v>
      </c>
      <c r="C56" s="80">
        <v>16810</v>
      </c>
      <c r="D56" s="80">
        <v>15953</v>
      </c>
      <c r="E56" s="80">
        <f>I55</f>
        <v>15360</v>
      </c>
      <c r="F56" s="80">
        <v>15452</v>
      </c>
      <c r="G56" s="80">
        <v>15468</v>
      </c>
      <c r="H56" s="80">
        <v>15106</v>
      </c>
      <c r="I56" s="78">
        <v>14909</v>
      </c>
    </row>
    <row r="57" spans="1:9" x14ac:dyDescent="0.25">
      <c r="A57" s="44" t="s">
        <v>25</v>
      </c>
      <c r="B57" s="30">
        <f>B55-B56</f>
        <v>3899</v>
      </c>
      <c r="C57" s="30">
        <v>2330</v>
      </c>
      <c r="D57" s="30">
        <v>2169</v>
      </c>
      <c r="E57" s="30">
        <f t="shared" ref="E57:I57" si="23">E55-E56</f>
        <v>2267</v>
      </c>
      <c r="F57" s="30">
        <f t="shared" si="23"/>
        <v>1882</v>
      </c>
      <c r="G57" s="30">
        <f t="shared" si="23"/>
        <v>1342</v>
      </c>
      <c r="H57" s="30">
        <f t="shared" si="23"/>
        <v>847</v>
      </c>
      <c r="I57" s="30">
        <f t="shared" si="23"/>
        <v>451</v>
      </c>
    </row>
    <row r="58" spans="1:9" x14ac:dyDescent="0.25">
      <c r="A58" s="44"/>
      <c r="E58" s="26"/>
    </row>
    <row r="59" spans="1:9" ht="15.75" thickBot="1" x14ac:dyDescent="0.3">
      <c r="A59" s="41" t="s">
        <v>26</v>
      </c>
      <c r="B59" s="33">
        <f>B57/B56</f>
        <v>0.22493365639783086</v>
      </c>
      <c r="C59" s="33">
        <v>0.13860797144556811</v>
      </c>
      <c r="D59" s="33">
        <v>0.13596188804613552</v>
      </c>
      <c r="E59" s="33">
        <f t="shared" ref="E59:I59" si="24">E57/E56</f>
        <v>0.14759114583333333</v>
      </c>
      <c r="F59" s="33">
        <f t="shared" si="24"/>
        <v>0.12179653119337303</v>
      </c>
      <c r="G59" s="33">
        <f t="shared" si="24"/>
        <v>8.6759762089475043E-2</v>
      </c>
      <c r="H59" s="33">
        <f t="shared" si="24"/>
        <v>5.6070435588507876E-2</v>
      </c>
      <c r="I59" s="33">
        <f t="shared" si="24"/>
        <v>3.0250184452344221E-2</v>
      </c>
    </row>
    <row r="62" spans="1:9" x14ac:dyDescent="0.25">
      <c r="A62" s="35" t="s">
        <v>59</v>
      </c>
      <c r="B62" s="82">
        <f>+B22</f>
        <v>40482</v>
      </c>
      <c r="C62" s="82">
        <v>38202</v>
      </c>
      <c r="D62" s="82">
        <v>36797</v>
      </c>
      <c r="E62" s="82">
        <v>35767</v>
      </c>
      <c r="F62" s="82">
        <v>34871</v>
      </c>
      <c r="G62" s="82">
        <v>33816</v>
      </c>
      <c r="H62" s="82">
        <v>33303</v>
      </c>
      <c r="I62" s="82">
        <v>31917</v>
      </c>
    </row>
    <row r="63" spans="1:9" ht="15.75" thickBot="1" x14ac:dyDescent="0.3">
      <c r="A63" s="41" t="s">
        <v>70</v>
      </c>
      <c r="B63" s="60">
        <f>AVERAGE(B62:E62)</f>
        <v>37812</v>
      </c>
      <c r="C63" s="60">
        <v>36922</v>
      </c>
      <c r="D63" s="60">
        <f>AVERAGE(D62:E62)</f>
        <v>36282</v>
      </c>
      <c r="E63" s="60">
        <f>AVERAGE(E62:I62)</f>
        <v>33934.800000000003</v>
      </c>
      <c r="F63" s="60">
        <f>AVERAGE(F62:I62)</f>
        <v>33476.75</v>
      </c>
      <c r="G63" s="60">
        <f>AVERAGE(G62:I62)</f>
        <v>33012</v>
      </c>
      <c r="H63" s="60">
        <f>AVERAGE(H62:I62)</f>
        <v>32610</v>
      </c>
      <c r="I63" s="60">
        <v>30315</v>
      </c>
    </row>
    <row r="65" spans="1:9" x14ac:dyDescent="0.25">
      <c r="B65" s="75"/>
      <c r="C65" s="75"/>
    </row>
    <row r="66" spans="1:9" x14ac:dyDescent="0.25">
      <c r="A66" s="35" t="s">
        <v>74</v>
      </c>
      <c r="B66" s="30">
        <f>+B48</f>
        <v>31207</v>
      </c>
      <c r="C66" s="30">
        <v>30843</v>
      </c>
      <c r="D66" s="30">
        <v>29474</v>
      </c>
      <c r="E66" s="30">
        <v>28222</v>
      </c>
      <c r="F66" s="30">
        <v>27519</v>
      </c>
      <c r="G66" s="30">
        <v>26406</v>
      </c>
      <c r="H66" s="30">
        <v>25792</v>
      </c>
      <c r="I66" s="30">
        <v>25600</v>
      </c>
    </row>
    <row r="67" spans="1:9" x14ac:dyDescent="0.25">
      <c r="A67" s="35" t="s">
        <v>72</v>
      </c>
      <c r="B67" s="30">
        <v>15299</v>
      </c>
      <c r="C67" s="30">
        <v>14970</v>
      </c>
      <c r="D67" s="30">
        <v>14802</v>
      </c>
      <c r="E67" s="30">
        <v>14489</v>
      </c>
      <c r="F67" s="30">
        <v>14116</v>
      </c>
      <c r="G67" s="30">
        <v>13764</v>
      </c>
      <c r="H67" s="30">
        <v>13873</v>
      </c>
      <c r="I67" s="30">
        <v>12892</v>
      </c>
    </row>
    <row r="68" spans="1:9" x14ac:dyDescent="0.25">
      <c r="A68" s="35" t="s">
        <v>73</v>
      </c>
      <c r="B68" s="30">
        <v>3412</v>
      </c>
      <c r="C68" s="30">
        <v>3629</v>
      </c>
      <c r="D68" s="30">
        <v>3926</v>
      </c>
      <c r="E68" s="30">
        <v>4008</v>
      </c>
      <c r="F68" s="30">
        <v>4123</v>
      </c>
      <c r="G68" s="30">
        <v>4226</v>
      </c>
      <c r="H68" s="30">
        <v>4058</v>
      </c>
      <c r="I68" s="30">
        <v>4086</v>
      </c>
    </row>
    <row r="69" spans="1:9" ht="15.75" thickBot="1" x14ac:dyDescent="0.3">
      <c r="A69" s="41" t="s">
        <v>50</v>
      </c>
      <c r="B69" s="60">
        <f t="shared" ref="B69:I69" si="25">SUM(B66:B68)</f>
        <v>49918</v>
      </c>
      <c r="C69" s="60">
        <v>49442</v>
      </c>
      <c r="D69" s="60">
        <v>48202</v>
      </c>
      <c r="E69" s="60">
        <f t="shared" si="25"/>
        <v>46719</v>
      </c>
      <c r="F69" s="60">
        <f t="shared" si="25"/>
        <v>45758</v>
      </c>
      <c r="G69" s="60">
        <f t="shared" si="25"/>
        <v>44396</v>
      </c>
      <c r="H69" s="60">
        <f t="shared" si="25"/>
        <v>43723</v>
      </c>
      <c r="I69" s="60">
        <f t="shared" si="25"/>
        <v>42578</v>
      </c>
    </row>
    <row r="72" spans="1:9" ht="30" x14ac:dyDescent="0.25">
      <c r="A72" s="11" t="s">
        <v>18</v>
      </c>
      <c r="B72" s="82">
        <f t="shared" ref="B72:I72" si="26">+B69</f>
        <v>49918</v>
      </c>
      <c r="C72" s="82">
        <v>49442</v>
      </c>
      <c r="D72" s="82">
        <v>48202</v>
      </c>
      <c r="E72" s="82">
        <f t="shared" si="26"/>
        <v>46719</v>
      </c>
      <c r="F72" s="82">
        <f t="shared" si="26"/>
        <v>45758</v>
      </c>
      <c r="G72" s="82">
        <f t="shared" si="26"/>
        <v>44396</v>
      </c>
      <c r="H72" s="82">
        <f t="shared" si="26"/>
        <v>43723</v>
      </c>
      <c r="I72" s="82">
        <f t="shared" si="26"/>
        <v>42578</v>
      </c>
    </row>
    <row r="73" spans="1:9" ht="30" x14ac:dyDescent="0.25">
      <c r="A73" s="13" t="s">
        <v>28</v>
      </c>
      <c r="B73" s="80">
        <f>+F72</f>
        <v>45758</v>
      </c>
      <c r="C73" s="80">
        <v>44396</v>
      </c>
      <c r="D73" s="80">
        <v>43723</v>
      </c>
      <c r="E73" s="80">
        <f>I72</f>
        <v>42578</v>
      </c>
      <c r="F73" s="80">
        <v>42323</v>
      </c>
      <c r="G73" s="80">
        <v>39860</v>
      </c>
      <c r="H73" s="80">
        <v>38508</v>
      </c>
      <c r="I73" s="80">
        <v>38851</v>
      </c>
    </row>
    <row r="74" spans="1:9" x14ac:dyDescent="0.25">
      <c r="A74" s="35" t="s">
        <v>19</v>
      </c>
      <c r="B74" s="82">
        <f t="shared" ref="B74" si="27">B72-B73</f>
        <v>4160</v>
      </c>
      <c r="C74" s="82">
        <v>5046</v>
      </c>
      <c r="D74" s="82">
        <v>4479</v>
      </c>
      <c r="E74" s="82">
        <f t="shared" ref="E74:I74" si="28">E72-E73</f>
        <v>4141</v>
      </c>
      <c r="F74" s="82">
        <f t="shared" si="28"/>
        <v>3435</v>
      </c>
      <c r="G74" s="82">
        <f t="shared" si="28"/>
        <v>4536</v>
      </c>
      <c r="H74" s="82">
        <f t="shared" si="28"/>
        <v>5215</v>
      </c>
      <c r="I74" s="82">
        <f t="shared" si="28"/>
        <v>3727</v>
      </c>
    </row>
    <row r="75" spans="1:9" ht="30" x14ac:dyDescent="0.25">
      <c r="A75" s="13" t="s">
        <v>29</v>
      </c>
      <c r="B75" s="80">
        <f>B73</f>
        <v>45758</v>
      </c>
      <c r="C75" s="80">
        <v>44396</v>
      </c>
      <c r="D75" s="80">
        <v>43723</v>
      </c>
      <c r="E75" s="80">
        <f t="shared" ref="E75:I75" si="29">E73</f>
        <v>42578</v>
      </c>
      <c r="F75" s="80">
        <f t="shared" si="29"/>
        <v>42323</v>
      </c>
      <c r="G75" s="80">
        <f t="shared" si="29"/>
        <v>39860</v>
      </c>
      <c r="H75" s="80">
        <f t="shared" si="29"/>
        <v>38508</v>
      </c>
      <c r="I75" s="80">
        <f t="shared" si="29"/>
        <v>38851</v>
      </c>
    </row>
    <row r="76" spans="1:9" ht="15.75" thickBot="1" x14ac:dyDescent="0.3">
      <c r="A76" s="42" t="s">
        <v>51</v>
      </c>
      <c r="B76" s="23">
        <f>B74/B75</f>
        <v>9.0913064382184536E-2</v>
      </c>
      <c r="C76" s="23">
        <v>0.11365888818812506</v>
      </c>
      <c r="D76" s="23">
        <v>0.10244036319557212</v>
      </c>
      <c r="E76" s="23">
        <f t="shared" ref="E76:H76" si="30">E74/E75</f>
        <v>9.7256799286016257E-2</v>
      </c>
      <c r="F76" s="23">
        <f t="shared" si="30"/>
        <v>8.1161543368853811E-2</v>
      </c>
      <c r="G76" s="23">
        <f t="shared" si="30"/>
        <v>0.11379829402910185</v>
      </c>
      <c r="H76" s="23">
        <f t="shared" si="30"/>
        <v>0.13542640490287733</v>
      </c>
      <c r="I76" s="23">
        <f>I74/I75+0.001</f>
        <v>9.693060667679082E-2</v>
      </c>
    </row>
    <row r="77" spans="1:9" x14ac:dyDescent="0.25">
      <c r="B77" s="22"/>
      <c r="C77" s="22"/>
      <c r="D77" s="22"/>
      <c r="H77" s="22"/>
      <c r="I77" s="28"/>
    </row>
    <row r="79" spans="1:9" ht="30" x14ac:dyDescent="0.25">
      <c r="A79" s="11" t="s">
        <v>18</v>
      </c>
      <c r="B79" s="82">
        <f>+B72</f>
        <v>49918</v>
      </c>
      <c r="C79" s="82">
        <v>49442</v>
      </c>
      <c r="D79" s="82">
        <v>48202</v>
      </c>
      <c r="E79" s="82">
        <f>+E72</f>
        <v>46719</v>
      </c>
      <c r="F79" s="82">
        <f t="shared" ref="F79:I79" si="31">+F72</f>
        <v>45758</v>
      </c>
      <c r="G79" s="82">
        <f t="shared" si="31"/>
        <v>44396</v>
      </c>
      <c r="H79" s="82">
        <f t="shared" si="31"/>
        <v>43723</v>
      </c>
      <c r="I79" s="82">
        <f t="shared" si="31"/>
        <v>42578</v>
      </c>
    </row>
    <row r="80" spans="1:9" x14ac:dyDescent="0.25">
      <c r="A80" s="13" t="s">
        <v>114</v>
      </c>
      <c r="B80" s="80">
        <f>+B48-B44</f>
        <v>115</v>
      </c>
      <c r="C80" s="80">
        <f t="shared" ref="C80:I80" si="32">+C48-C44</f>
        <v>115</v>
      </c>
      <c r="D80" s="80">
        <f t="shared" si="32"/>
        <v>123</v>
      </c>
      <c r="E80" s="80">
        <f t="shared" si="32"/>
        <v>153</v>
      </c>
      <c r="F80" s="80">
        <f t="shared" si="32"/>
        <v>159</v>
      </c>
      <c r="G80" s="80">
        <f t="shared" si="32"/>
        <v>188</v>
      </c>
      <c r="H80" s="80">
        <f t="shared" si="32"/>
        <v>180</v>
      </c>
      <c r="I80" s="80">
        <f t="shared" si="32"/>
        <v>139</v>
      </c>
    </row>
    <row r="81" spans="1:9" ht="30" x14ac:dyDescent="0.25">
      <c r="A81" s="11" t="s">
        <v>113</v>
      </c>
      <c r="B81" s="82">
        <f t="shared" ref="B81:I81" si="33">+B79-B80</f>
        <v>49803</v>
      </c>
      <c r="C81" s="82">
        <f t="shared" si="33"/>
        <v>49327</v>
      </c>
      <c r="D81" s="82">
        <f t="shared" si="33"/>
        <v>48079</v>
      </c>
      <c r="E81" s="82">
        <f t="shared" si="33"/>
        <v>46566</v>
      </c>
      <c r="F81" s="82">
        <f t="shared" si="33"/>
        <v>45599</v>
      </c>
      <c r="G81" s="82">
        <f t="shared" si="33"/>
        <v>44208</v>
      </c>
      <c r="H81" s="82">
        <f t="shared" si="33"/>
        <v>43543</v>
      </c>
      <c r="I81" s="82">
        <f t="shared" si="33"/>
        <v>42439</v>
      </c>
    </row>
    <row r="82" spans="1:9" x14ac:dyDescent="0.25">
      <c r="A82" s="13" t="s">
        <v>76</v>
      </c>
      <c r="B82" s="80">
        <f>+B55</f>
        <v>21233</v>
      </c>
      <c r="C82" s="80">
        <v>19140</v>
      </c>
      <c r="D82" s="80">
        <v>18122</v>
      </c>
      <c r="E82" s="80">
        <f t="shared" ref="E82:I82" si="34">+E55</f>
        <v>17627</v>
      </c>
      <c r="F82" s="80">
        <f t="shared" si="34"/>
        <v>17334</v>
      </c>
      <c r="G82" s="80">
        <f t="shared" si="34"/>
        <v>16810</v>
      </c>
      <c r="H82" s="80">
        <f t="shared" si="34"/>
        <v>15953</v>
      </c>
      <c r="I82" s="80">
        <f t="shared" si="34"/>
        <v>15360</v>
      </c>
    </row>
    <row r="83" spans="1:9" ht="30.75" thickBot="1" x14ac:dyDescent="0.3">
      <c r="A83" s="17" t="s">
        <v>75</v>
      </c>
      <c r="B83" s="23">
        <f t="shared" ref="B83:I83" si="35">+B82/B81</f>
        <v>0.42633977872818907</v>
      </c>
      <c r="C83" s="23">
        <f t="shared" si="35"/>
        <v>0.38802278670910456</v>
      </c>
      <c r="D83" s="23">
        <f t="shared" si="35"/>
        <v>0.37692131699910564</v>
      </c>
      <c r="E83" s="23">
        <f t="shared" si="35"/>
        <v>0.37853798909075292</v>
      </c>
      <c r="F83" s="23">
        <f t="shared" si="35"/>
        <v>0.38013991534902081</v>
      </c>
      <c r="G83" s="23">
        <f t="shared" si="35"/>
        <v>0.38024791892870069</v>
      </c>
      <c r="H83" s="23">
        <f t="shared" si="35"/>
        <v>0.36637346990331399</v>
      </c>
      <c r="I83" s="23">
        <f t="shared" si="35"/>
        <v>0.36193124248921982</v>
      </c>
    </row>
    <row r="86" spans="1:9" x14ac:dyDescent="0.25">
      <c r="A86" s="35" t="s">
        <v>78</v>
      </c>
      <c r="B86" s="30">
        <v>-22</v>
      </c>
      <c r="C86" s="30">
        <v>-21</v>
      </c>
      <c r="D86" s="30">
        <v>-12</v>
      </c>
      <c r="E86" s="30">
        <v>75</v>
      </c>
      <c r="F86" s="30">
        <f>+G86+14</f>
        <v>75</v>
      </c>
      <c r="G86" s="30">
        <f>42+19</f>
        <v>61</v>
      </c>
      <c r="H86" s="30">
        <v>42</v>
      </c>
      <c r="I86" s="30">
        <v>37</v>
      </c>
    </row>
    <row r="87" spans="1:9" x14ac:dyDescent="0.25">
      <c r="A87" s="39"/>
      <c r="B87" s="30"/>
      <c r="C87" s="30"/>
      <c r="D87" s="30"/>
      <c r="E87" s="30"/>
      <c r="F87" s="31"/>
      <c r="G87" s="31"/>
      <c r="H87" s="30"/>
      <c r="I87" s="30"/>
    </row>
    <row r="88" spans="1:9" x14ac:dyDescent="0.25">
      <c r="A88" s="35" t="s">
        <v>23</v>
      </c>
      <c r="B88" s="30">
        <f>B86/3*4</f>
        <v>-29.333333333333332</v>
      </c>
      <c r="C88" s="30">
        <v>-42</v>
      </c>
      <c r="D88" s="30">
        <v>-48</v>
      </c>
      <c r="E88" s="30">
        <f>E86/4*4</f>
        <v>75</v>
      </c>
      <c r="F88" s="30">
        <f>F86/3*4</f>
        <v>100</v>
      </c>
      <c r="G88" s="30">
        <f>G86/2*4</f>
        <v>122</v>
      </c>
      <c r="H88" s="30">
        <f>H86*4</f>
        <v>168</v>
      </c>
      <c r="I88" s="30">
        <f>I86/4*4</f>
        <v>37</v>
      </c>
    </row>
    <row r="89" spans="1:9" x14ac:dyDescent="0.25">
      <c r="A89" s="13" t="s">
        <v>83</v>
      </c>
      <c r="B89" s="81">
        <f>AVERAGE(B66:E66)</f>
        <v>29936.5</v>
      </c>
      <c r="C89" s="81">
        <v>29513</v>
      </c>
      <c r="D89" s="78">
        <v>28848</v>
      </c>
      <c r="E89" s="78">
        <f>(E66+G66+F66+H66+I66)/5</f>
        <v>26707.8</v>
      </c>
      <c r="F89" s="78">
        <f>(F66+H66+G66+I66)/4</f>
        <v>26329.25</v>
      </c>
      <c r="G89" s="78">
        <f>(G66+I66+H66)/3</f>
        <v>25932.666666666668</v>
      </c>
      <c r="H89" s="78">
        <f>(H66+I66)/2</f>
        <v>25696</v>
      </c>
      <c r="I89" s="78">
        <v>23798</v>
      </c>
    </row>
    <row r="90" spans="1:9" ht="15.75" thickBot="1" x14ac:dyDescent="0.3">
      <c r="A90" s="42" t="s">
        <v>22</v>
      </c>
      <c r="B90" s="25">
        <f t="shared" ref="B90" si="36">B88/B89</f>
        <v>-9.798517974156408E-4</v>
      </c>
      <c r="C90" s="25">
        <v>-1.4231016840036595E-3</v>
      </c>
      <c r="D90" s="25">
        <v>-1.6638935108153079E-3</v>
      </c>
      <c r="E90" s="25">
        <f>E88/E89</f>
        <v>2.8081684002426257E-3</v>
      </c>
      <c r="F90" s="25">
        <f t="shared" ref="F90:H90" si="37">F88/F89</f>
        <v>3.7980572936942756E-3</v>
      </c>
      <c r="G90" s="25">
        <f t="shared" si="37"/>
        <v>4.7044911180235995E-3</v>
      </c>
      <c r="H90" s="25">
        <f t="shared" si="37"/>
        <v>6.5379825653798258E-3</v>
      </c>
      <c r="I90" s="25">
        <f>I88/I89</f>
        <v>1.5547525002101016E-3</v>
      </c>
    </row>
    <row r="93" spans="1:9" x14ac:dyDescent="0.25">
      <c r="A93" s="35" t="s">
        <v>81</v>
      </c>
      <c r="B93" s="30">
        <v>96</v>
      </c>
      <c r="C93" s="30">
        <v>113</v>
      </c>
      <c r="D93" s="30">
        <v>130</v>
      </c>
      <c r="E93" s="30">
        <v>125</v>
      </c>
      <c r="F93" s="79">
        <v>111</v>
      </c>
      <c r="G93" s="30">
        <v>125</v>
      </c>
      <c r="H93" s="30">
        <v>114</v>
      </c>
      <c r="I93" s="30">
        <v>134</v>
      </c>
    </row>
    <row r="94" spans="1:9" x14ac:dyDescent="0.25">
      <c r="A94" s="13" t="s">
        <v>82</v>
      </c>
      <c r="B94" s="80">
        <v>29</v>
      </c>
      <c r="C94" s="80">
        <v>29</v>
      </c>
      <c r="D94" s="80">
        <v>29</v>
      </c>
      <c r="E94" s="80">
        <v>109</v>
      </c>
      <c r="F94" s="80">
        <v>109</v>
      </c>
      <c r="G94" s="80">
        <v>109</v>
      </c>
      <c r="H94" s="80">
        <v>109</v>
      </c>
      <c r="I94" s="80">
        <v>109</v>
      </c>
    </row>
    <row r="95" spans="1:9" x14ac:dyDescent="0.25">
      <c r="A95" s="35" t="s">
        <v>80</v>
      </c>
      <c r="B95" s="30">
        <f t="shared" ref="B95:I95" si="38">+B93+B94</f>
        <v>125</v>
      </c>
      <c r="C95" s="30">
        <v>142</v>
      </c>
      <c r="D95" s="30">
        <f t="shared" si="38"/>
        <v>159</v>
      </c>
      <c r="E95" s="30">
        <f t="shared" si="38"/>
        <v>234</v>
      </c>
      <c r="F95" s="30">
        <f t="shared" si="38"/>
        <v>220</v>
      </c>
      <c r="G95" s="30">
        <f t="shared" si="38"/>
        <v>234</v>
      </c>
      <c r="H95" s="30">
        <f t="shared" si="38"/>
        <v>223</v>
      </c>
      <c r="I95" s="30">
        <f t="shared" si="38"/>
        <v>243</v>
      </c>
    </row>
    <row r="96" spans="1:9" x14ac:dyDescent="0.25">
      <c r="A96" s="40" t="s">
        <v>115</v>
      </c>
      <c r="B96" s="78">
        <f t="shared" ref="B96:I96" si="39">+B48</f>
        <v>31207</v>
      </c>
      <c r="C96" s="78">
        <v>30843</v>
      </c>
      <c r="D96" s="78">
        <v>29474</v>
      </c>
      <c r="E96" s="78">
        <f t="shared" si="39"/>
        <v>28222</v>
      </c>
      <c r="F96" s="78">
        <f t="shared" si="39"/>
        <v>27519</v>
      </c>
      <c r="G96" s="78">
        <f t="shared" si="39"/>
        <v>26406</v>
      </c>
      <c r="H96" s="78">
        <f t="shared" si="39"/>
        <v>25792</v>
      </c>
      <c r="I96" s="78">
        <f t="shared" si="39"/>
        <v>25642</v>
      </c>
    </row>
    <row r="97" spans="1:9" ht="15.75" thickBot="1" x14ac:dyDescent="0.3">
      <c r="A97" s="16" t="s">
        <v>116</v>
      </c>
      <c r="B97" s="24">
        <f t="shared" ref="B97:I97" si="40">B95/B96</f>
        <v>4.0055115839395007E-3</v>
      </c>
      <c r="C97" s="24">
        <v>4.6039620011023574E-3</v>
      </c>
      <c r="D97" s="24">
        <f t="shared" si="40"/>
        <v>5.3945850580172355E-3</v>
      </c>
      <c r="E97" s="24">
        <f t="shared" si="40"/>
        <v>8.2914038693218065E-3</v>
      </c>
      <c r="F97" s="24">
        <f t="shared" si="40"/>
        <v>7.9944765434790503E-3</v>
      </c>
      <c r="G97" s="24">
        <f t="shared" si="40"/>
        <v>8.8616223585548746E-3</v>
      </c>
      <c r="H97" s="24">
        <f t="shared" si="40"/>
        <v>8.6460918114143921E-3</v>
      </c>
      <c r="I97" s="24">
        <f t="shared" si="40"/>
        <v>9.4766398876842683E-3</v>
      </c>
    </row>
    <row r="100" spans="1:9" x14ac:dyDescent="0.25">
      <c r="A100" s="35" t="s">
        <v>78</v>
      </c>
      <c r="B100" s="30">
        <f t="shared" ref="B100:I100" si="41">+B86</f>
        <v>-22</v>
      </c>
      <c r="C100" s="30">
        <v>-21</v>
      </c>
      <c r="D100" s="30">
        <v>-12</v>
      </c>
      <c r="E100" s="30">
        <f t="shared" si="41"/>
        <v>75</v>
      </c>
      <c r="F100" s="30">
        <f t="shared" si="41"/>
        <v>75</v>
      </c>
      <c r="G100" s="30">
        <f t="shared" si="41"/>
        <v>61</v>
      </c>
      <c r="H100" s="30">
        <f t="shared" si="41"/>
        <v>42</v>
      </c>
      <c r="I100" s="30">
        <f t="shared" si="41"/>
        <v>37</v>
      </c>
    </row>
    <row r="101" spans="1:9" s="15" customFormat="1" x14ac:dyDescent="0.25">
      <c r="A101" s="39"/>
      <c r="B101" s="30"/>
      <c r="C101" s="30"/>
      <c r="D101" s="30"/>
      <c r="E101" s="30"/>
      <c r="F101" s="31"/>
      <c r="G101" s="31"/>
      <c r="H101" s="30"/>
      <c r="I101" s="30"/>
    </row>
    <row r="102" spans="1:9" x14ac:dyDescent="0.25">
      <c r="A102" s="35" t="s">
        <v>23</v>
      </c>
      <c r="B102" s="30">
        <f>B100/3*4</f>
        <v>-29.333333333333332</v>
      </c>
      <c r="C102" s="30">
        <v>-42</v>
      </c>
      <c r="D102" s="30">
        <v>-48</v>
      </c>
      <c r="E102" s="30">
        <f>E100/4*4</f>
        <v>75</v>
      </c>
      <c r="F102" s="30">
        <f>F100/3*4</f>
        <v>100</v>
      </c>
      <c r="G102" s="30">
        <f>G100/2*4</f>
        <v>122</v>
      </c>
      <c r="H102" s="30">
        <f>H100*4</f>
        <v>168</v>
      </c>
      <c r="I102" s="30">
        <f>I100/4*4</f>
        <v>37</v>
      </c>
    </row>
    <row r="103" spans="1:9" x14ac:dyDescent="0.25">
      <c r="A103" s="13" t="s">
        <v>21</v>
      </c>
      <c r="B103" s="81">
        <f>AVERAGE(B79:E79)</f>
        <v>48570.25</v>
      </c>
      <c r="C103" s="81">
        <v>48121</v>
      </c>
      <c r="D103" s="78">
        <v>47460.5</v>
      </c>
      <c r="E103" s="78">
        <f>(E72+G72+F72+H72+I72)/5</f>
        <v>44634.8</v>
      </c>
      <c r="F103" s="78">
        <f>(F72+H72+G72+I72)/4</f>
        <v>44113.75</v>
      </c>
      <c r="G103" s="78">
        <f>(G72+I72+H72)/3</f>
        <v>43565.666666666664</v>
      </c>
      <c r="H103" s="78">
        <f>(H72+I72)/2</f>
        <v>43150.5</v>
      </c>
      <c r="I103" s="78">
        <v>40432</v>
      </c>
    </row>
    <row r="104" spans="1:9" s="3" customFormat="1" ht="30.75" thickBot="1" x14ac:dyDescent="0.3">
      <c r="A104" s="17" t="s">
        <v>84</v>
      </c>
      <c r="B104" s="25">
        <f t="shared" ref="B104:D104" si="42">B102/B103</f>
        <v>-6.0393622296227279E-4</v>
      </c>
      <c r="C104" s="25">
        <v>-8.7279981712765737E-4</v>
      </c>
      <c r="D104" s="25">
        <f t="shared" si="42"/>
        <v>-1.0113673475837801E-3</v>
      </c>
      <c r="E104" s="25">
        <f t="shared" ref="E104" si="43">E102/E103</f>
        <v>1.6803032611325691E-3</v>
      </c>
      <c r="F104" s="25">
        <f t="shared" ref="F104" si="44">F102/F103</f>
        <v>2.2668669065767475E-3</v>
      </c>
      <c r="G104" s="25">
        <f t="shared" ref="G104:I104" si="45">G102/G103</f>
        <v>2.800370322195613E-3</v>
      </c>
      <c r="H104" s="25">
        <f t="shared" si="45"/>
        <v>3.8933500191191297E-3</v>
      </c>
      <c r="I104" s="25">
        <f t="shared" si="45"/>
        <v>9.1511673921646224E-4</v>
      </c>
    </row>
    <row r="106" spans="1:9" x14ac:dyDescent="0.25">
      <c r="B106" s="22"/>
      <c r="C106" s="22"/>
      <c r="D106" s="22"/>
      <c r="E106" s="22"/>
      <c r="F106" s="22"/>
      <c r="G106" s="22"/>
      <c r="H106" s="22"/>
      <c r="I106" s="28"/>
    </row>
    <row r="107" spans="1:9" x14ac:dyDescent="0.25">
      <c r="A107" s="35" t="s">
        <v>81</v>
      </c>
      <c r="B107" s="30">
        <f>+B93</f>
        <v>96</v>
      </c>
      <c r="C107" s="30">
        <v>113</v>
      </c>
      <c r="D107" s="30">
        <f>+D93</f>
        <v>130</v>
      </c>
      <c r="E107" s="30">
        <v>125</v>
      </c>
      <c r="F107" s="79">
        <v>111</v>
      </c>
      <c r="G107" s="30">
        <v>125</v>
      </c>
      <c r="H107" s="30">
        <v>114</v>
      </c>
      <c r="I107" s="30">
        <v>134</v>
      </c>
    </row>
    <row r="108" spans="1:9" x14ac:dyDescent="0.25">
      <c r="A108" s="13" t="s">
        <v>82</v>
      </c>
      <c r="B108" s="80">
        <f>+B94</f>
        <v>29</v>
      </c>
      <c r="C108" s="80">
        <v>29</v>
      </c>
      <c r="D108" s="80">
        <f>+D94</f>
        <v>29</v>
      </c>
      <c r="E108" s="80">
        <v>109</v>
      </c>
      <c r="F108" s="80">
        <v>109</v>
      </c>
      <c r="G108" s="80">
        <v>109</v>
      </c>
      <c r="H108" s="80">
        <v>109</v>
      </c>
      <c r="I108" s="80">
        <v>109</v>
      </c>
    </row>
    <row r="109" spans="1:9" x14ac:dyDescent="0.25">
      <c r="A109" s="35" t="s">
        <v>80</v>
      </c>
      <c r="B109" s="30">
        <f t="shared" ref="B109:I109" si="46">+B107+B108</f>
        <v>125</v>
      </c>
      <c r="C109" s="30">
        <v>142</v>
      </c>
      <c r="D109" s="30">
        <f>+D107+D108</f>
        <v>159</v>
      </c>
      <c r="E109" s="30">
        <f t="shared" si="46"/>
        <v>234</v>
      </c>
      <c r="F109" s="30">
        <f t="shared" si="46"/>
        <v>220</v>
      </c>
      <c r="G109" s="30">
        <f t="shared" si="46"/>
        <v>234</v>
      </c>
      <c r="H109" s="30">
        <f t="shared" si="46"/>
        <v>223</v>
      </c>
      <c r="I109" s="30">
        <f t="shared" si="46"/>
        <v>243</v>
      </c>
    </row>
    <row r="110" spans="1:9" x14ac:dyDescent="0.25">
      <c r="A110" s="40" t="s">
        <v>17</v>
      </c>
      <c r="B110" s="78">
        <f t="shared" ref="B110" si="47">+B72</f>
        <v>49918</v>
      </c>
      <c r="C110" s="78">
        <v>49442</v>
      </c>
      <c r="D110" s="78">
        <v>48202</v>
      </c>
      <c r="E110" s="78">
        <f>+E72</f>
        <v>46719</v>
      </c>
      <c r="F110" s="78">
        <f t="shared" ref="F110:I110" si="48">+F72</f>
        <v>45758</v>
      </c>
      <c r="G110" s="78">
        <f t="shared" si="48"/>
        <v>44396</v>
      </c>
      <c r="H110" s="78">
        <f t="shared" si="48"/>
        <v>43723</v>
      </c>
      <c r="I110" s="78">
        <f t="shared" si="48"/>
        <v>42578</v>
      </c>
    </row>
    <row r="111" spans="1:9" ht="30.75" thickBot="1" x14ac:dyDescent="0.3">
      <c r="A111" s="16" t="s">
        <v>20</v>
      </c>
      <c r="B111" s="24">
        <f t="shared" ref="B111:D111" si="49">B109/B110</f>
        <v>2.5041067350454744E-3</v>
      </c>
      <c r="C111" s="24">
        <v>2.8720521014522068E-3</v>
      </c>
      <c r="D111" s="24">
        <f t="shared" si="49"/>
        <v>3.2986183145927556E-3</v>
      </c>
      <c r="E111" s="24">
        <f>E109/E110</f>
        <v>5.0086688499325757E-3</v>
      </c>
      <c r="F111" s="24">
        <f t="shared" ref="F111:I111" si="50">F109/F110</f>
        <v>4.8079024432886057E-3</v>
      </c>
      <c r="G111" s="24">
        <f t="shared" si="50"/>
        <v>5.2707451121722674E-3</v>
      </c>
      <c r="H111" s="24">
        <f t="shared" si="50"/>
        <v>5.1002904649726693E-3</v>
      </c>
      <c r="I111" s="24">
        <f t="shared" si="50"/>
        <v>5.7071727183052277E-3</v>
      </c>
    </row>
    <row r="112" spans="1:9" x14ac:dyDescent="0.25">
      <c r="B112" s="74"/>
      <c r="C112" s="74"/>
      <c r="D112" s="74"/>
      <c r="E112" s="74"/>
      <c r="F112" s="74"/>
      <c r="G112" s="74"/>
      <c r="H112" s="74"/>
    </row>
    <row r="113" spans="1:10" x14ac:dyDescent="0.25">
      <c r="J113" s="19"/>
    </row>
    <row r="114" spans="1:10" s="15" customFormat="1" x14ac:dyDescent="0.25">
      <c r="A114" s="39" t="s">
        <v>90</v>
      </c>
      <c r="B114" s="66">
        <v>0.37</v>
      </c>
      <c r="C114" s="66">
        <v>0.36</v>
      </c>
      <c r="D114" s="66">
        <v>0.46</v>
      </c>
      <c r="E114" s="65">
        <v>0.69335999999999998</v>
      </c>
      <c r="F114" s="66">
        <v>0.79801</v>
      </c>
      <c r="G114" s="66">
        <v>1.0606800000000001</v>
      </c>
      <c r="H114" s="66">
        <v>1.6559900000000001</v>
      </c>
      <c r="I114" s="66">
        <v>1.5542800000000001</v>
      </c>
      <c r="J114" s="22"/>
    </row>
    <row r="115" spans="1:10" s="15" customFormat="1" x14ac:dyDescent="0.25">
      <c r="A115" s="39" t="s">
        <v>89</v>
      </c>
      <c r="B115" s="47">
        <v>273</v>
      </c>
      <c r="C115" s="47">
        <v>181</v>
      </c>
      <c r="D115" s="47">
        <v>90</v>
      </c>
      <c r="E115" s="52">
        <v>366</v>
      </c>
      <c r="F115" s="47">
        <v>275</v>
      </c>
      <c r="G115" s="47">
        <v>182</v>
      </c>
      <c r="H115" s="47">
        <v>91</v>
      </c>
      <c r="I115" s="47">
        <v>365</v>
      </c>
      <c r="J115" s="22"/>
    </row>
    <row r="116" spans="1:10" s="15" customFormat="1" x14ac:dyDescent="0.25">
      <c r="A116" s="39"/>
      <c r="B116" s="47"/>
      <c r="C116" s="47"/>
      <c r="D116" s="47"/>
      <c r="E116" s="52"/>
      <c r="F116" s="47"/>
      <c r="G116" s="47"/>
      <c r="H116" s="47"/>
      <c r="I116" s="47"/>
    </row>
    <row r="117" spans="1:10" s="28" customFormat="1" x14ac:dyDescent="0.25">
      <c r="A117" s="28" t="s">
        <v>91</v>
      </c>
      <c r="B117" s="30">
        <v>14514</v>
      </c>
      <c r="C117" s="30">
        <v>14559</v>
      </c>
      <c r="D117" s="30">
        <f>18314-D118</f>
        <v>14394</v>
      </c>
      <c r="E117" s="30">
        <v>12950</v>
      </c>
      <c r="F117" s="30">
        <v>12710</v>
      </c>
      <c r="G117" s="30">
        <v>12550</v>
      </c>
      <c r="H117" s="30">
        <v>12133</v>
      </c>
      <c r="I117" s="30">
        <v>10650</v>
      </c>
    </row>
    <row r="118" spans="1:10" s="28" customFormat="1" x14ac:dyDescent="0.25">
      <c r="A118" s="28" t="s">
        <v>92</v>
      </c>
      <c r="B118" s="30">
        <v>3725</v>
      </c>
      <c r="C118" s="30">
        <v>3826</v>
      </c>
      <c r="D118" s="30">
        <v>3920</v>
      </c>
      <c r="E118" s="30">
        <v>4079</v>
      </c>
      <c r="F118" s="30">
        <v>4125</v>
      </c>
      <c r="G118" s="30">
        <v>4121</v>
      </c>
      <c r="H118" s="30">
        <v>4067</v>
      </c>
      <c r="I118" s="30">
        <v>4313</v>
      </c>
    </row>
    <row r="119" spans="1:10" s="28" customFormat="1" x14ac:dyDescent="0.25">
      <c r="A119" s="28" t="s">
        <v>87</v>
      </c>
      <c r="B119" s="30">
        <f>366-3.7</f>
        <v>362.3</v>
      </c>
      <c r="C119" s="30">
        <v>241.89999999999998</v>
      </c>
      <c r="D119" s="30">
        <v>121.5</v>
      </c>
      <c r="E119" s="71">
        <v>492.95800000000003</v>
      </c>
      <c r="F119" s="30">
        <v>380.67900000000003</v>
      </c>
      <c r="G119" s="30">
        <v>269.61900000000003</v>
      </c>
      <c r="H119" s="30">
        <f>143.172-2</f>
        <v>141.172</v>
      </c>
      <c r="I119" s="30">
        <v>466.428</v>
      </c>
    </row>
    <row r="120" spans="1:10" s="28" customFormat="1" x14ac:dyDescent="0.25">
      <c r="A120" s="28" t="s">
        <v>88</v>
      </c>
      <c r="B120" s="30">
        <v>83</v>
      </c>
      <c r="C120" s="30">
        <v>57.6</v>
      </c>
      <c r="D120" s="30">
        <v>30</v>
      </c>
      <c r="E120" s="71">
        <v>144</v>
      </c>
      <c r="F120" s="30">
        <v>115</v>
      </c>
      <c r="G120" s="30">
        <v>83.8</v>
      </c>
      <c r="H120" s="30">
        <v>45.5</v>
      </c>
      <c r="I120" s="30">
        <v>176.833</v>
      </c>
    </row>
    <row r="121" spans="1:10" s="28" customFormat="1" x14ac:dyDescent="0.25">
      <c r="A121" s="67" t="s">
        <v>27</v>
      </c>
      <c r="B121" s="72">
        <f>+(B117+B118)*B114%*B115/365</f>
        <v>50.47455863013699</v>
      </c>
      <c r="C121" s="72">
        <v>32.821002739726026</v>
      </c>
      <c r="D121" s="72">
        <f>+(D117+D118)*D114%*D115/365</f>
        <v>20.772591780821919</v>
      </c>
      <c r="E121" s="72">
        <f>+(E117+E118)*E114%*E115/366</f>
        <v>118.0722744</v>
      </c>
      <c r="F121" s="72">
        <f t="shared" ref="F121:G121" si="51">+(F117+F118)*F114%*F115/366</f>
        <v>100.94226902322406</v>
      </c>
      <c r="G121" s="72">
        <f t="shared" si="51"/>
        <v>87.929850354098363</v>
      </c>
      <c r="H121" s="72">
        <f>+(H117+H118)*H114%*H115/366</f>
        <v>66.701105409836075</v>
      </c>
      <c r="I121" s="72">
        <f>+(I117+I118)*I114%*I115/365</f>
        <v>232.5669164</v>
      </c>
    </row>
    <row r="122" spans="1:10" s="28" customFormat="1" x14ac:dyDescent="0.25">
      <c r="A122" s="47" t="s">
        <v>93</v>
      </c>
      <c r="B122" s="71">
        <f>+B120+B119-B121</f>
        <v>394.82544136986303</v>
      </c>
      <c r="C122" s="71">
        <v>266.67899726027395</v>
      </c>
      <c r="D122" s="71">
        <f>+D120+D119-D121</f>
        <v>130.72740821917807</v>
      </c>
      <c r="E122" s="71">
        <f>+E120+E119-E121</f>
        <v>518.88572560000011</v>
      </c>
      <c r="F122" s="71">
        <f t="shared" ref="F122:I122" si="52">+F120+F119-F121</f>
        <v>394.73673097677596</v>
      </c>
      <c r="G122" s="71">
        <f t="shared" si="52"/>
        <v>265.48914964590165</v>
      </c>
      <c r="H122" s="71">
        <f>+H120+H119-H121</f>
        <v>119.97089459016392</v>
      </c>
      <c r="I122" s="71">
        <f t="shared" si="52"/>
        <v>410.6940836</v>
      </c>
    </row>
    <row r="123" spans="1:10" s="64" customFormat="1" ht="15.75" thickBot="1" x14ac:dyDescent="0.3">
      <c r="A123" s="16" t="s">
        <v>105</v>
      </c>
      <c r="B123" s="24">
        <f>+B122*(365/B115)/(B117+B118)</f>
        <v>2.8942385485194847E-2</v>
      </c>
      <c r="C123" s="24">
        <v>2.9250915876953498E-2</v>
      </c>
      <c r="D123" s="24">
        <f>+D122*(365/D115)/(D117+D118)</f>
        <v>2.894901532525208E-2</v>
      </c>
      <c r="E123" s="24">
        <f>+E122*(366/E115)/(E117+E118)</f>
        <v>3.047071029420401E-2</v>
      </c>
      <c r="F123" s="24">
        <f t="shared" ref="F123:H123" si="53">+F122*(366/F115)/(F117+F118)</f>
        <v>3.1206338210438209E-2</v>
      </c>
      <c r="G123" s="24">
        <f t="shared" si="53"/>
        <v>3.2025419139507245E-2</v>
      </c>
      <c r="H123" s="24">
        <f t="shared" si="53"/>
        <v>2.9785203785103784E-2</v>
      </c>
      <c r="I123" s="24">
        <f>+I122*(365/I115)/(I117+I118)</f>
        <v>2.7447308935373921E-2</v>
      </c>
    </row>
    <row r="124" spans="1:10" s="28" customFormat="1" hidden="1" x14ac:dyDescent="0.25">
      <c r="A124" s="47"/>
      <c r="B124" s="73">
        <f>+(B119+B120)*(365/B115)/(B117+B118)</f>
        <v>3.2642385485194846E-2</v>
      </c>
      <c r="C124" s="73">
        <v>3.2850915876953497E-2</v>
      </c>
      <c r="D124" s="73">
        <f>+(D119+D120)*(365/D115)/(D117+D118)</f>
        <v>3.3549015325252084E-2</v>
      </c>
      <c r="E124" s="68"/>
      <c r="F124" s="69"/>
      <c r="G124" s="69"/>
      <c r="H124" s="69"/>
      <c r="I124" s="69"/>
    </row>
    <row r="125" spans="1:10" s="28" customFormat="1" hidden="1" x14ac:dyDescent="0.25">
      <c r="A125" s="47"/>
      <c r="B125" s="73">
        <f>+(B119)*(365/B115)/(B117)</f>
        <v>3.3374243688423101E-2</v>
      </c>
      <c r="C125" s="73">
        <v>3.3505693541121873E-2</v>
      </c>
      <c r="D125" s="73">
        <f>+(D119)*(365/D115)/(D117)</f>
        <v>3.4233013755731553E-2</v>
      </c>
      <c r="E125" s="68"/>
      <c r="F125" s="69"/>
      <c r="G125" s="69"/>
      <c r="H125" s="69"/>
      <c r="I125" s="69"/>
    </row>
    <row r="126" spans="1:10" s="28" customFormat="1" hidden="1" x14ac:dyDescent="0.25">
      <c r="A126" s="47"/>
      <c r="B126" s="73">
        <f>+(B120)*(365/B115)/(B118)</f>
        <v>2.9790790864616366E-2</v>
      </c>
      <c r="C126" s="73">
        <v>3.0359303746104731E-2</v>
      </c>
      <c r="D126" s="73">
        <f>+(D120)*(365/D115)/(D118)</f>
        <v>3.1037414965986391E-2</v>
      </c>
      <c r="E126" s="68"/>
      <c r="F126" s="69"/>
      <c r="G126" s="69"/>
      <c r="H126" s="69"/>
      <c r="I126" s="69"/>
    </row>
    <row r="127" spans="1:10" s="28" customFormat="1" x14ac:dyDescent="0.25">
      <c r="A127" s="47"/>
      <c r="E127" s="54"/>
    </row>
    <row r="128" spans="1:10" s="28" customFormat="1" x14ac:dyDescent="0.25">
      <c r="A128" s="47"/>
      <c r="E128" s="54"/>
    </row>
    <row r="129" spans="1:9" s="28" customFormat="1" x14ac:dyDescent="0.25">
      <c r="A129" s="28" t="s">
        <v>94</v>
      </c>
      <c r="B129" s="30">
        <v>15322</v>
      </c>
      <c r="C129" s="30">
        <v>15020</v>
      </c>
      <c r="D129" s="30">
        <f>29379-D130</f>
        <v>14834</v>
      </c>
      <c r="E129" s="30">
        <v>13500</v>
      </c>
      <c r="F129" s="30">
        <v>13090</v>
      </c>
      <c r="G129" s="30">
        <v>13125</v>
      </c>
      <c r="H129" s="30">
        <v>13701</v>
      </c>
      <c r="I129" s="30">
        <v>12910</v>
      </c>
    </row>
    <row r="130" spans="1:9" s="28" customFormat="1" x14ac:dyDescent="0.25">
      <c r="A130" s="28" t="s">
        <v>96</v>
      </c>
      <c r="B130" s="30">
        <v>14794</v>
      </c>
      <c r="C130" s="30">
        <v>14811</v>
      </c>
      <c r="D130" s="30">
        <v>14545</v>
      </c>
      <c r="E130" s="30">
        <v>13765</v>
      </c>
      <c r="F130" s="30">
        <v>13622</v>
      </c>
      <c r="G130" s="30">
        <v>13458</v>
      </c>
      <c r="H130" s="30">
        <v>13034</v>
      </c>
      <c r="I130" s="30">
        <v>12210</v>
      </c>
    </row>
    <row r="131" spans="1:9" s="28" customFormat="1" x14ac:dyDescent="0.25">
      <c r="A131" s="28" t="s">
        <v>95</v>
      </c>
      <c r="B131" s="30">
        <f>287+3.7</f>
        <v>290.7</v>
      </c>
      <c r="C131" s="30">
        <v>191</v>
      </c>
      <c r="D131" s="30">
        <f>92.3+2</f>
        <v>94.3</v>
      </c>
      <c r="E131" s="71">
        <v>412.38</v>
      </c>
      <c r="F131" s="30">
        <v>317.82299999999998</v>
      </c>
      <c r="G131" s="30">
        <f>225.46-2.9</f>
        <v>222.56</v>
      </c>
      <c r="H131" s="30">
        <f>123.177+2</f>
        <v>125.17700000000001</v>
      </c>
      <c r="I131" s="30">
        <v>446.20400000000001</v>
      </c>
    </row>
    <row r="132" spans="1:9" s="28" customFormat="1" x14ac:dyDescent="0.25">
      <c r="A132" s="28" t="s">
        <v>97</v>
      </c>
      <c r="B132" s="30">
        <v>212</v>
      </c>
      <c r="C132" s="30">
        <v>139.69999999999999</v>
      </c>
      <c r="D132" s="30">
        <v>69.3</v>
      </c>
      <c r="E132" s="71">
        <v>323.60000000000002</v>
      </c>
      <c r="F132" s="30">
        <v>254.3</v>
      </c>
      <c r="G132" s="30">
        <v>185.2</v>
      </c>
      <c r="H132" s="30">
        <v>100.78</v>
      </c>
      <c r="I132" s="30">
        <v>346.76</v>
      </c>
    </row>
    <row r="133" spans="1:9" s="28" customFormat="1" x14ac:dyDescent="0.25">
      <c r="A133" s="67" t="s">
        <v>27</v>
      </c>
      <c r="B133" s="72">
        <f>+(B129+B130)*B114%*B115/365</f>
        <v>83.342935890410956</v>
      </c>
      <c r="C133" s="72">
        <v>53.25446465753425</v>
      </c>
      <c r="D133" s="72">
        <f>+(D129+D130)*D114%*D115/365</f>
        <v>33.323030136986297</v>
      </c>
      <c r="E133" s="72">
        <f>+(E129+E130)*E114%*E115/366</f>
        <v>189.04460400000002</v>
      </c>
      <c r="F133" s="72">
        <f t="shared" ref="F133:H133" si="54">+(F129+F130)*F114%*F115/366</f>
        <v>160.16453163934429</v>
      </c>
      <c r="G133" s="72">
        <f t="shared" si="54"/>
        <v>140.2098981442623</v>
      </c>
      <c r="H133" s="72">
        <f t="shared" si="54"/>
        <v>110.07741068715848</v>
      </c>
      <c r="I133" s="72">
        <f>+(I129+I130)*I114%*I115/365</f>
        <v>390.435136</v>
      </c>
    </row>
    <row r="134" spans="1:9" s="28" customFormat="1" x14ac:dyDescent="0.25">
      <c r="A134" s="47" t="s">
        <v>93</v>
      </c>
      <c r="B134" s="71">
        <f t="shared" ref="B134:D134" si="55">+B132+B131-B133</f>
        <v>419.35706410958903</v>
      </c>
      <c r="C134" s="71">
        <v>277.44553534246575</v>
      </c>
      <c r="D134" s="71">
        <f t="shared" si="55"/>
        <v>130.2769698630137</v>
      </c>
      <c r="E134" s="71">
        <f>+E132+E131-E133</f>
        <v>546.93539599999997</v>
      </c>
      <c r="F134" s="71">
        <f t="shared" ref="F134:I134" si="56">+F132+F131-F133</f>
        <v>411.95846836065573</v>
      </c>
      <c r="G134" s="71">
        <f t="shared" si="56"/>
        <v>267.55010185573769</v>
      </c>
      <c r="H134" s="71">
        <f t="shared" si="56"/>
        <v>115.87958931284152</v>
      </c>
      <c r="I134" s="71">
        <f t="shared" si="56"/>
        <v>402.52886399999994</v>
      </c>
    </row>
    <row r="135" spans="1:9" s="64" customFormat="1" ht="15.75" thickBot="1" x14ac:dyDescent="0.3">
      <c r="A135" s="16" t="s">
        <v>104</v>
      </c>
      <c r="B135" s="24">
        <f>+B134*(365/B115)/(B129+B130)</f>
        <v>1.8617308361271703E-2</v>
      </c>
      <c r="C135" s="24">
        <v>1.8755308754973457E-2</v>
      </c>
      <c r="D135" s="24">
        <f>+D134*(365/D115)/(D129+D130)</f>
        <v>1.7983780553759109E-2</v>
      </c>
      <c r="E135" s="24">
        <f>+E134*(366/E115)/(E129+E130)</f>
        <v>2.0059981514762515E-2</v>
      </c>
      <c r="F135" s="24">
        <f>+F134*(366/F115)/(F129+F130)</f>
        <v>2.0525579163603688E-2</v>
      </c>
      <c r="G135" s="24">
        <f t="shared" ref="G135:H135" si="57">+G134*(366/G115)/(G129+G130)</f>
        <v>2.0240014848620515E-2</v>
      </c>
      <c r="H135" s="24">
        <f t="shared" si="57"/>
        <v>1.7432772074512357E-2</v>
      </c>
      <c r="I135" s="24">
        <f>+I134*(365/I115)/(I129+I130)</f>
        <v>1.6024238216560509E-2</v>
      </c>
    </row>
    <row r="136" spans="1:9" s="64" customFormat="1" x14ac:dyDescent="0.25">
      <c r="A136" s="61"/>
      <c r="B136" s="69"/>
      <c r="C136" s="69"/>
      <c r="D136" s="63"/>
      <c r="E136" s="62"/>
      <c r="F136" s="63"/>
      <c r="G136" s="63"/>
      <c r="H136" s="63"/>
      <c r="I136" s="63"/>
    </row>
    <row r="137" spans="1:9" s="15" customFormat="1" x14ac:dyDescent="0.25">
      <c r="A137" s="47"/>
      <c r="B137" s="69"/>
      <c r="C137" s="69"/>
      <c r="D137" s="69"/>
      <c r="E137" s="68"/>
      <c r="F137" s="69"/>
      <c r="G137" s="69"/>
      <c r="H137" s="69"/>
      <c r="I137" s="69"/>
    </row>
    <row r="138" spans="1:9" s="15" customFormat="1" x14ac:dyDescent="0.25">
      <c r="A138" s="47" t="s">
        <v>100</v>
      </c>
      <c r="B138" s="30">
        <v>18866</v>
      </c>
      <c r="C138" s="30">
        <v>18202.5</v>
      </c>
      <c r="D138" s="30">
        <v>17913</v>
      </c>
      <c r="E138" s="71">
        <v>16587</v>
      </c>
      <c r="F138" s="30">
        <v>16295</v>
      </c>
      <c r="G138" s="30">
        <v>15959</v>
      </c>
      <c r="H138" s="30">
        <v>15676</v>
      </c>
      <c r="I138" s="30">
        <v>15189</v>
      </c>
    </row>
    <row r="139" spans="1:9" s="15" customFormat="1" x14ac:dyDescent="0.25">
      <c r="A139" s="47"/>
      <c r="B139" s="30"/>
      <c r="C139" s="30"/>
      <c r="D139" s="30"/>
      <c r="E139" s="71"/>
      <c r="F139" s="30"/>
      <c r="G139" s="30"/>
      <c r="H139" s="30"/>
      <c r="I139" s="30"/>
    </row>
    <row r="140" spans="1:9" s="15" customFormat="1" x14ac:dyDescent="0.25">
      <c r="A140" s="47" t="s">
        <v>102</v>
      </c>
      <c r="B140" s="30">
        <v>204</v>
      </c>
      <c r="C140" s="30">
        <v>136</v>
      </c>
      <c r="D140" s="30">
        <v>69</v>
      </c>
      <c r="E140" s="71">
        <v>375</v>
      </c>
      <c r="F140" s="30">
        <v>309</v>
      </c>
      <c r="G140" s="30">
        <v>243</v>
      </c>
      <c r="H140" s="30">
        <v>135</v>
      </c>
      <c r="I140" s="30">
        <v>437</v>
      </c>
    </row>
    <row r="141" spans="1:9" s="15" customFormat="1" x14ac:dyDescent="0.25">
      <c r="A141" s="67" t="s">
        <v>103</v>
      </c>
      <c r="B141" s="78">
        <v>-126</v>
      </c>
      <c r="C141" s="78">
        <v>-87</v>
      </c>
      <c r="D141" s="78">
        <f>-52+8</f>
        <v>-44</v>
      </c>
      <c r="E141" s="72">
        <f>-245+12-1</f>
        <v>-234</v>
      </c>
      <c r="F141" s="78">
        <f>-194+2</f>
        <v>-192</v>
      </c>
      <c r="G141" s="78">
        <f>-143-8</f>
        <v>-151</v>
      </c>
      <c r="H141" s="78">
        <f>-78-7</f>
        <v>-85</v>
      </c>
      <c r="I141" s="78">
        <f>-264-4</f>
        <v>-268</v>
      </c>
    </row>
    <row r="142" spans="1:9" s="15" customFormat="1" x14ac:dyDescent="0.25">
      <c r="A142" s="47" t="s">
        <v>98</v>
      </c>
      <c r="B142" s="30">
        <f>+B140+B141</f>
        <v>78</v>
      </c>
      <c r="C142" s="30">
        <v>49</v>
      </c>
      <c r="D142" s="30">
        <f t="shared" ref="D142:I142" si="58">SUM(D140:D141)</f>
        <v>25</v>
      </c>
      <c r="E142" s="30">
        <f t="shared" si="58"/>
        <v>141</v>
      </c>
      <c r="F142" s="30">
        <f t="shared" si="58"/>
        <v>117</v>
      </c>
      <c r="G142" s="30">
        <f t="shared" si="58"/>
        <v>92</v>
      </c>
      <c r="H142" s="30">
        <f t="shared" si="58"/>
        <v>50</v>
      </c>
      <c r="I142" s="30">
        <f t="shared" si="58"/>
        <v>169</v>
      </c>
    </row>
    <row r="143" spans="1:9" s="15" customFormat="1" x14ac:dyDescent="0.25">
      <c r="A143" s="47"/>
      <c r="B143" s="30"/>
      <c r="C143" s="30"/>
      <c r="D143" s="30"/>
      <c r="E143" s="30"/>
      <c r="F143" s="30"/>
      <c r="G143" s="30"/>
      <c r="H143" s="30"/>
      <c r="I143" s="30"/>
    </row>
    <row r="144" spans="1:9" s="15" customFormat="1" x14ac:dyDescent="0.25">
      <c r="A144" s="67" t="s">
        <v>27</v>
      </c>
      <c r="B144" s="72">
        <f>+B138*B114%*B115/365</f>
        <v>52.20971671232877</v>
      </c>
      <c r="C144" s="72">
        <v>32.495202739726025</v>
      </c>
      <c r="D144" s="72">
        <f>+D138*D114%*D115/365</f>
        <v>20.317758904109589</v>
      </c>
      <c r="E144" s="72">
        <f>+E138*E114%*E115/366</f>
        <v>115.0076232</v>
      </c>
      <c r="F144" s="72">
        <f>+F138*F114%*F115/366</f>
        <v>97.704441564207642</v>
      </c>
      <c r="G144" s="72">
        <f>+G138*G114%*G115/366</f>
        <v>84.174463547540995</v>
      </c>
      <c r="H144" s="72">
        <f>+H138*H114%*H115/366</f>
        <v>64.543612864480878</v>
      </c>
      <c r="I144" s="72">
        <f>+I138*I114%*I115/365</f>
        <v>236.07958920000002</v>
      </c>
    </row>
    <row r="145" spans="1:9" s="15" customFormat="1" x14ac:dyDescent="0.25">
      <c r="A145" s="47" t="s">
        <v>99</v>
      </c>
      <c r="B145" s="71">
        <f>+B144-B142</f>
        <v>-25.79028328767123</v>
      </c>
      <c r="C145" s="71">
        <v>-16.504797260273975</v>
      </c>
      <c r="D145" s="71">
        <f t="shared" ref="D145" si="59">+D144-D142</f>
        <v>-4.6822410958904115</v>
      </c>
      <c r="E145" s="71">
        <f>+E144-E142</f>
        <v>-25.992376800000002</v>
      </c>
      <c r="F145" s="71">
        <f t="shared" ref="F145:I145" si="60">+F144-F142</f>
        <v>-19.295558435792358</v>
      </c>
      <c r="G145" s="71">
        <f t="shared" si="60"/>
        <v>-7.825536452459005</v>
      </c>
      <c r="H145" s="71">
        <f t="shared" si="60"/>
        <v>14.543612864480878</v>
      </c>
      <c r="I145" s="71">
        <f t="shared" si="60"/>
        <v>67.079589200000015</v>
      </c>
    </row>
    <row r="146" spans="1:9" s="70" customFormat="1" ht="15.75" thickBot="1" x14ac:dyDescent="0.3">
      <c r="A146" s="16" t="s">
        <v>106</v>
      </c>
      <c r="B146" s="24">
        <f>+B145*(365/B115)/B138</f>
        <v>-1.8277066832245456E-3</v>
      </c>
      <c r="C146" s="24">
        <v>-1.8284935968209096E-3</v>
      </c>
      <c r="D146" s="24">
        <f>+D145*(365/D115)/D138</f>
        <v>-1.0600730692172662E-3</v>
      </c>
      <c r="E146" s="24">
        <f>+E145*(366/E115)/E138</f>
        <v>-1.5670330258636283E-3</v>
      </c>
      <c r="F146" s="24">
        <f>+F145*(366/F115)/F138</f>
        <v>-1.5759824569723012E-3</v>
      </c>
      <c r="G146" s="24">
        <f>+G145*(366/G115)/G138</f>
        <v>-9.8609360304461355E-4</v>
      </c>
      <c r="H146" s="24">
        <f>+H145*(366/H115)/H138</f>
        <v>3.7314424152270292E-3</v>
      </c>
      <c r="I146" s="24">
        <f>+I145*(365/I115)/I138</f>
        <v>4.416326894463099E-3</v>
      </c>
    </row>
    <row r="147" spans="1:9" x14ac:dyDescent="0.25">
      <c r="A147" s="44"/>
      <c r="B147" s="53"/>
      <c r="C147" s="53"/>
      <c r="D147" s="53"/>
      <c r="E147" s="53"/>
      <c r="F147" s="46"/>
      <c r="G147" s="46"/>
      <c r="H147" s="46"/>
      <c r="I147" s="46"/>
    </row>
    <row r="148" spans="1:9" x14ac:dyDescent="0.25">
      <c r="A148" s="44"/>
      <c r="B148" s="53"/>
      <c r="C148" s="53"/>
      <c r="D148" s="53"/>
      <c r="E148" s="53"/>
      <c r="F148" s="46"/>
      <c r="G148" s="46"/>
      <c r="H148" s="46"/>
      <c r="I148" s="46"/>
    </row>
    <row r="149" spans="1:9" x14ac:dyDescent="0.25">
      <c r="A149" s="44"/>
      <c r="B149" s="53"/>
      <c r="C149" s="53"/>
      <c r="D149" s="53"/>
      <c r="E149" s="53"/>
      <c r="F149" s="46"/>
      <c r="G149" s="46"/>
      <c r="H149" s="46"/>
      <c r="I149" s="46"/>
    </row>
    <row r="150" spans="1:9" x14ac:dyDescent="0.25">
      <c r="A150" s="44"/>
      <c r="B150" s="53"/>
      <c r="C150" s="53"/>
      <c r="D150" s="53"/>
      <c r="E150" s="53"/>
      <c r="F150" s="46"/>
      <c r="G150" s="46"/>
      <c r="H150" s="46"/>
      <c r="I150" s="46"/>
    </row>
    <row r="151" spans="1:9" x14ac:dyDescent="0.25">
      <c r="A151" s="44"/>
      <c r="B151" s="53"/>
      <c r="C151" s="53"/>
      <c r="D151" s="53"/>
      <c r="E151" s="53"/>
      <c r="F151" s="46"/>
      <c r="G151" s="46"/>
      <c r="H151" s="46"/>
      <c r="I151" s="46"/>
    </row>
    <row r="152" spans="1:9" x14ac:dyDescent="0.25">
      <c r="A152" s="44"/>
      <c r="B152" s="53"/>
      <c r="C152" s="53"/>
      <c r="D152" s="53"/>
      <c r="E152" s="53"/>
      <c r="F152" s="46"/>
      <c r="G152" s="46"/>
      <c r="H152" s="46"/>
      <c r="I152" s="46"/>
    </row>
    <row r="153" spans="1:9" x14ac:dyDescent="0.25">
      <c r="A153" s="44"/>
      <c r="B153" s="53"/>
      <c r="C153" s="53"/>
      <c r="D153" s="53"/>
      <c r="E153" s="53"/>
      <c r="F153" s="46"/>
      <c r="G153" s="46"/>
      <c r="H153" s="46"/>
      <c r="I153" s="46"/>
    </row>
    <row r="154" spans="1:9" x14ac:dyDescent="0.25">
      <c r="A154" s="44"/>
      <c r="B154" s="53"/>
      <c r="C154" s="53"/>
      <c r="D154" s="53"/>
      <c r="E154" s="53"/>
      <c r="F154" s="46"/>
      <c r="G154" s="46"/>
      <c r="H154" s="46"/>
      <c r="I154" s="46"/>
    </row>
    <row r="155" spans="1:9" x14ac:dyDescent="0.25">
      <c r="A155" s="44"/>
      <c r="B155" s="53"/>
      <c r="C155" s="53"/>
      <c r="D155" s="53"/>
      <c r="E155" s="53"/>
      <c r="F155" s="46"/>
      <c r="G155" s="46"/>
      <c r="H155" s="46"/>
      <c r="I155" s="46"/>
    </row>
    <row r="156" spans="1:9" x14ac:dyDescent="0.25">
      <c r="A156" s="44"/>
      <c r="B156" s="53"/>
      <c r="C156" s="53"/>
      <c r="D156" s="53"/>
      <c r="E156" s="53"/>
      <c r="F156" s="46"/>
      <c r="G156" s="46"/>
      <c r="H156" s="46"/>
      <c r="I156" s="46"/>
    </row>
    <row r="157" spans="1:9" x14ac:dyDescent="0.25">
      <c r="A157" s="44"/>
      <c r="B157" s="53"/>
      <c r="C157" s="53"/>
      <c r="D157" s="53"/>
      <c r="E157" s="53"/>
      <c r="F157" s="46"/>
      <c r="G157" s="46"/>
      <c r="H157" s="46"/>
      <c r="I157" s="46"/>
    </row>
    <row r="158" spans="1:9" x14ac:dyDescent="0.25">
      <c r="A158" s="44"/>
      <c r="B158" s="53"/>
      <c r="C158" s="53"/>
      <c r="D158" s="53"/>
      <c r="E158" s="53"/>
      <c r="F158" s="46"/>
      <c r="G158" s="46"/>
      <c r="H158" s="46"/>
      <c r="I158" s="46"/>
    </row>
    <row r="159" spans="1:9" x14ac:dyDescent="0.25">
      <c r="A159" s="44"/>
      <c r="B159" s="53"/>
      <c r="C159" s="53"/>
      <c r="D159" s="53"/>
      <c r="E159" s="53"/>
      <c r="F159" s="46"/>
      <c r="G159" s="46"/>
      <c r="H159" s="46"/>
      <c r="I159" s="46"/>
    </row>
    <row r="160" spans="1:9" x14ac:dyDescent="0.25">
      <c r="A160" s="44"/>
      <c r="B160" s="53"/>
      <c r="C160" s="53"/>
      <c r="D160" s="53"/>
      <c r="E160" s="53"/>
      <c r="F160" s="46"/>
      <c r="G160" s="46"/>
      <c r="H160" s="46"/>
      <c r="I160" s="46"/>
    </row>
    <row r="161" spans="1:9" x14ac:dyDescent="0.25">
      <c r="A161" s="44"/>
      <c r="B161" s="53"/>
      <c r="C161" s="53"/>
      <c r="D161" s="53"/>
      <c r="E161" s="53"/>
      <c r="F161" s="46"/>
      <c r="G161" s="46"/>
      <c r="H161" s="46"/>
      <c r="I161" s="46"/>
    </row>
    <row r="162" spans="1:9" x14ac:dyDescent="0.25">
      <c r="A162" s="44"/>
      <c r="B162" s="53"/>
      <c r="C162" s="53"/>
      <c r="D162" s="53"/>
      <c r="E162" s="53"/>
      <c r="F162" s="46"/>
      <c r="G162" s="46"/>
      <c r="H162" s="46"/>
      <c r="I162" s="46"/>
    </row>
    <row r="163" spans="1:9" x14ac:dyDescent="0.25">
      <c r="A163" s="44"/>
      <c r="B163" s="53"/>
      <c r="C163" s="53"/>
      <c r="D163" s="53"/>
      <c r="E163" s="53"/>
      <c r="F163" s="46"/>
      <c r="G163" s="46"/>
      <c r="H163" s="46"/>
      <c r="I163" s="46"/>
    </row>
    <row r="164" spans="1:9" x14ac:dyDescent="0.25">
      <c r="A164" s="44"/>
      <c r="B164" s="53"/>
      <c r="C164" s="53"/>
      <c r="D164" s="53"/>
      <c r="E164" s="53"/>
      <c r="F164" s="46"/>
      <c r="G164" s="46"/>
      <c r="H164" s="46"/>
      <c r="I164" s="46"/>
    </row>
    <row r="165" spans="1:9" x14ac:dyDescent="0.25">
      <c r="A165" s="44"/>
      <c r="B165" s="53"/>
      <c r="C165" s="53"/>
      <c r="D165" s="53"/>
      <c r="E165" s="53"/>
      <c r="F165" s="46"/>
      <c r="G165" s="46"/>
      <c r="H165" s="46"/>
      <c r="I165" s="46"/>
    </row>
    <row r="166" spans="1:9" x14ac:dyDescent="0.25">
      <c r="A166" s="44"/>
      <c r="B166" s="53"/>
      <c r="C166" s="53"/>
      <c r="D166" s="53"/>
      <c r="E166" s="53"/>
      <c r="F166" s="46"/>
      <c r="G166" s="46"/>
      <c r="H166" s="46"/>
      <c r="I166" s="46"/>
    </row>
    <row r="167" spans="1:9" x14ac:dyDescent="0.25">
      <c r="A167" s="44"/>
      <c r="B167" s="53"/>
      <c r="C167" s="53"/>
      <c r="D167" s="53"/>
      <c r="E167" s="53"/>
      <c r="F167" s="46"/>
      <c r="G167" s="46"/>
      <c r="H167" s="46"/>
      <c r="I167" s="46"/>
    </row>
  </sheetData>
  <pageMargins left="0.7" right="0.7" top="0.75" bottom="0.75" header="0.3" footer="0.3"/>
  <pageSetup paperSize="9" orientation="portrait" r:id="rId1"/>
  <ignoredErrors>
    <ignoredError sqref="E23:H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2" ma:contentTypeDescription="Create a new document." ma:contentTypeScope="" ma:versionID="511b5347395e0c43b348394748798e54">
  <xsd:schema xmlns:xsd="http://www.w3.org/2001/XMLSchema" xmlns:xs="http://www.w3.org/2001/XMLSchema" xmlns:p="http://schemas.microsoft.com/office/2006/metadata/properties" xmlns:ns2="4315fb67-519e-4616-947a-3076539a5839" targetNamespace="http://schemas.microsoft.com/office/2006/metadata/properties" ma:root="true" ma:fieldsID="e8a1b51020b384bd81573df5eccbb05c" ns2:_="">
    <xsd:import namespace="4315fb67-519e-4616-947a-3076539a58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2.xml><?xml version="1.0" encoding="utf-8"?>
<ds:datastoreItem xmlns:ds="http://schemas.openxmlformats.org/officeDocument/2006/customXml" ds:itemID="{98B3A183-4FF6-4360-8B62-4D64AD6CF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A69B47-8109-419D-9DA7-32C86C4FB97F}">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4315fb67-519e-4616-947a-3076539a5839"/>
    <ds:schemaRef ds:uri="http://purl.org/dc/dcmitype/"/>
    <ds:schemaRef ds:uri="http://www.w3.org/XML/1998/namespac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Pål Sund</cp:lastModifiedBy>
  <cp:lastPrinted>2017-08-23T20:15:43Z</cp:lastPrinted>
  <dcterms:created xsi:type="dcterms:W3CDTF">2017-08-15T12:23:16Z</dcterms:created>
  <dcterms:modified xsi:type="dcterms:W3CDTF">2021-10-27T06:26:34Z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