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M:\REGNRAPP\R2021\Q2 2021\"/>
    </mc:Choice>
  </mc:AlternateContent>
  <xr:revisionPtr revIDLastSave="0" documentId="8_{ADAECAAA-2D5B-451A-856D-84D4231F6E2B}" xr6:coauthVersionLast="47" xr6:coauthVersionMax="47" xr10:uidLastSave="{00000000-0000-0000-0000-000000000000}"/>
  <bookViews>
    <workbookView xWindow="28680" yWindow="-120" windowWidth="29040" windowHeight="18240" activeTab="1" xr2:uid="{00000000-000D-0000-FFFF-FFFF00000000}"/>
  </bookViews>
  <sheets>
    <sheet name="APM definisjoner" sheetId="1" r:id="rId1"/>
    <sheet name="APM utregning" sheetId="2" r:id="rId2"/>
  </sheets>
  <definedNames>
    <definedName name="_AMO_UniqueIdentifier" hidden="1">"'ea146410-0ba0-4315-a76f-efd61b1e6fa7'"</definedName>
    <definedName name="_xlnm.Print_Area" localSheetId="0">'APM definisjoner'!$A$1:$B$27</definedName>
    <definedName name="_xlnm.Print_Area" localSheetId="1">'APM utregning'!$A$1:$H$145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3" i="2" l="1"/>
  <c r="F63" i="2"/>
  <c r="C63" i="2"/>
  <c r="D63" i="2"/>
  <c r="B63" i="2"/>
  <c r="G23" i="2"/>
  <c r="F23" i="2"/>
  <c r="E23" i="2"/>
  <c r="D23" i="2"/>
  <c r="B23" i="2"/>
  <c r="H140" i="2"/>
  <c r="H139" i="2"/>
  <c r="E140" i="2"/>
  <c r="E139" i="2"/>
  <c r="F139" i="2"/>
  <c r="F140" i="2" s="1"/>
  <c r="G139" i="2"/>
  <c r="G140" i="2" s="1"/>
  <c r="D139" i="2" l="1"/>
  <c r="D140" i="2" s="1"/>
  <c r="C139" i="2"/>
  <c r="C140" i="2" s="1"/>
  <c r="B139" i="2"/>
  <c r="B140" i="2" s="1"/>
  <c r="C102" i="2" l="1"/>
  <c r="C106" i="2"/>
  <c r="C105" i="2"/>
  <c r="C107" i="2" s="1"/>
  <c r="C109" i="2" s="1"/>
  <c r="C93" i="2"/>
  <c r="C95" i="2" s="1"/>
  <c r="H32" i="2"/>
  <c r="G32" i="2"/>
  <c r="F32" i="2"/>
  <c r="B32" i="2"/>
  <c r="E32" i="2"/>
  <c r="D32" i="2"/>
  <c r="C32" i="2"/>
  <c r="B142" i="2" l="1"/>
  <c r="B143" i="2" s="1"/>
  <c r="B144" i="2" s="1"/>
  <c r="M113" i="2" l="1"/>
  <c r="B115" i="2"/>
  <c r="B119" i="2" s="1"/>
  <c r="E87" i="2"/>
  <c r="D87" i="2"/>
  <c r="B49" i="2"/>
  <c r="G20" i="2"/>
  <c r="G129" i="2" l="1"/>
  <c r="G117" i="2"/>
  <c r="C129" i="2"/>
  <c r="F129" i="2"/>
  <c r="B117" i="2"/>
  <c r="B129" i="2"/>
  <c r="C124" i="2"/>
  <c r="B124" i="2"/>
  <c r="B127" i="2"/>
  <c r="C127" i="2"/>
  <c r="C131" i="2" s="1"/>
  <c r="C115" i="2"/>
  <c r="C142" i="2"/>
  <c r="B122" i="2" l="1"/>
  <c r="B120" i="2"/>
  <c r="B121" i="2" s="1"/>
  <c r="C122" i="2"/>
  <c r="C143" i="2"/>
  <c r="C144" i="2" s="1"/>
  <c r="C132" i="2"/>
  <c r="C133" i="2" s="1"/>
  <c r="C119" i="2"/>
  <c r="C120" i="2" s="1"/>
  <c r="C121" i="2" s="1"/>
  <c r="B123" i="2"/>
  <c r="C123" i="2"/>
  <c r="B106" i="2"/>
  <c r="B105" i="2"/>
  <c r="B66" i="2"/>
  <c r="B87" i="2" s="1"/>
  <c r="B62" i="2"/>
  <c r="B86" i="2"/>
  <c r="B50" i="2"/>
  <c r="B52" i="2" s="1"/>
  <c r="B20" i="2"/>
  <c r="B25" i="2" s="1"/>
  <c r="B6" i="2"/>
  <c r="B14" i="2" s="1"/>
  <c r="M116" i="2" l="1"/>
  <c r="M115" i="2"/>
  <c r="M112" i="2"/>
  <c r="B131" i="2"/>
  <c r="M117" i="2" l="1"/>
  <c r="B45" i="2"/>
  <c r="B37" i="2"/>
  <c r="B39" i="2" s="1"/>
  <c r="B36" i="2"/>
  <c r="B132" i="2" l="1"/>
  <c r="B133" i="2" s="1"/>
  <c r="B107" i="2"/>
  <c r="B98" i="2"/>
  <c r="B100" i="2" s="1"/>
  <c r="B94" i="2"/>
  <c r="B93" i="2"/>
  <c r="B69" i="2"/>
  <c r="B72" i="2" s="1"/>
  <c r="B79" i="2" s="1"/>
  <c r="B55" i="2"/>
  <c r="B40" i="2"/>
  <c r="B33" i="2"/>
  <c r="B10" i="2"/>
  <c r="N112" i="2"/>
  <c r="O112" i="2"/>
  <c r="P112" i="2"/>
  <c r="G55" i="2"/>
  <c r="N115" i="2"/>
  <c r="O115" i="2"/>
  <c r="Q115" i="2"/>
  <c r="N116" i="2"/>
  <c r="N117" i="2" s="1"/>
  <c r="O116" i="2"/>
  <c r="P116" i="2"/>
  <c r="Q116" i="2"/>
  <c r="B80" i="2" l="1"/>
  <c r="Q117" i="2"/>
  <c r="O117" i="2"/>
  <c r="B95" i="2"/>
  <c r="B81" i="2"/>
  <c r="B88" i="2"/>
  <c r="B108" i="2"/>
  <c r="B109" i="2" s="1"/>
  <c r="G142" i="2"/>
  <c r="H119" i="2" l="1"/>
  <c r="H120" i="2" s="1"/>
  <c r="H121" i="2" s="1"/>
  <c r="E119" i="2"/>
  <c r="E120" i="2" s="1"/>
  <c r="E121" i="2" s="1"/>
  <c r="F119" i="2"/>
  <c r="F120" i="2" s="1"/>
  <c r="F121" i="2" s="1"/>
  <c r="D119" i="2"/>
  <c r="D120" i="2" s="1"/>
  <c r="D121" i="2" s="1"/>
  <c r="H131" i="2" l="1"/>
  <c r="H132" i="2" s="1"/>
  <c r="H133" i="2" s="1"/>
  <c r="E131" i="2"/>
  <c r="E132" i="2" s="1"/>
  <c r="E133" i="2" s="1"/>
  <c r="F131" i="2"/>
  <c r="F132" i="2" s="1"/>
  <c r="F133" i="2" s="1"/>
  <c r="G131" i="2"/>
  <c r="G132" i="2" s="1"/>
  <c r="G133" i="2" s="1"/>
  <c r="D131" i="2"/>
  <c r="D132" i="2" s="1"/>
  <c r="D133" i="2" s="1"/>
  <c r="H142" i="2"/>
  <c r="H143" i="2" s="1"/>
  <c r="H144" i="2" s="1"/>
  <c r="E142" i="2"/>
  <c r="F142" i="2"/>
  <c r="F143" i="2" s="1"/>
  <c r="F144" i="2" s="1"/>
  <c r="G143" i="2"/>
  <c r="G144" i="2" s="1"/>
  <c r="D142" i="2"/>
  <c r="D143" i="2" s="1"/>
  <c r="D144" i="2" s="1"/>
  <c r="P115" i="2" l="1"/>
  <c r="P117" i="2" s="1"/>
  <c r="G119" i="2"/>
  <c r="G120" i="2" s="1"/>
  <c r="G121" i="2" s="1"/>
  <c r="E143" i="2"/>
  <c r="E144" i="2" s="1"/>
  <c r="H107" i="2" l="1"/>
  <c r="G107" i="2"/>
  <c r="F107" i="2"/>
  <c r="E107" i="2"/>
  <c r="D107" i="2"/>
  <c r="H98" i="2"/>
  <c r="H100" i="2" s="1"/>
  <c r="H102" i="2" s="1"/>
  <c r="G98" i="2"/>
  <c r="D98" i="2"/>
  <c r="H93" i="2"/>
  <c r="G93" i="2"/>
  <c r="F93" i="2"/>
  <c r="E93" i="2"/>
  <c r="D93" i="2"/>
  <c r="G94" i="2"/>
  <c r="F94" i="2"/>
  <c r="E94" i="2"/>
  <c r="D94" i="2"/>
  <c r="H86" i="2"/>
  <c r="H88" i="2" s="1"/>
  <c r="F84" i="2"/>
  <c r="E84" i="2" s="1"/>
  <c r="E86" i="2" s="1"/>
  <c r="G87" i="2"/>
  <c r="F87" i="2"/>
  <c r="G86" i="2"/>
  <c r="D86" i="2"/>
  <c r="D95" i="2" l="1"/>
  <c r="E98" i="2"/>
  <c r="G95" i="2"/>
  <c r="F98" i="2"/>
  <c r="E95" i="2"/>
  <c r="F95" i="2"/>
  <c r="F86" i="2"/>
  <c r="F88" i="2" s="1"/>
  <c r="D88" i="2"/>
  <c r="G88" i="2"/>
  <c r="E88" i="2"/>
  <c r="H75" i="2" l="1"/>
  <c r="G75" i="2"/>
  <c r="F75" i="2"/>
  <c r="E75" i="2"/>
  <c r="H69" i="2" l="1"/>
  <c r="H72" i="2" s="1"/>
  <c r="H108" i="2" s="1"/>
  <c r="H109" i="2" s="1"/>
  <c r="G69" i="2"/>
  <c r="F69" i="2"/>
  <c r="E69" i="2"/>
  <c r="D69" i="2"/>
  <c r="E63" i="2"/>
  <c r="M111" i="2" l="1"/>
  <c r="F72" i="2"/>
  <c r="O111" i="2"/>
  <c r="D72" i="2"/>
  <c r="E72" i="2"/>
  <c r="E108" i="2" s="1"/>
  <c r="E109" i="2" s="1"/>
  <c r="N111" i="2"/>
  <c r="G72" i="2"/>
  <c r="G101" i="2" s="1"/>
  <c r="P111" i="2"/>
  <c r="D73" i="2"/>
  <c r="D75" i="2" s="1"/>
  <c r="H74" i="2"/>
  <c r="H76" i="2" s="1"/>
  <c r="H79" i="2"/>
  <c r="D79" i="2" l="1"/>
  <c r="B101" i="2" s="1"/>
  <c r="D101" i="2"/>
  <c r="E79" i="2"/>
  <c r="E74" i="2"/>
  <c r="E76" i="2" s="1"/>
  <c r="F108" i="2"/>
  <c r="F109" i="2" s="1"/>
  <c r="B73" i="2"/>
  <c r="B75" i="2" s="1"/>
  <c r="G108" i="2"/>
  <c r="G109" i="2" s="1"/>
  <c r="D108" i="2"/>
  <c r="D109" i="2" s="1"/>
  <c r="G79" i="2"/>
  <c r="G74" i="2"/>
  <c r="G76" i="2" s="1"/>
  <c r="F79" i="2"/>
  <c r="F74" i="2"/>
  <c r="F76" i="2" s="1"/>
  <c r="F55" i="2"/>
  <c r="G80" i="2"/>
  <c r="H55" i="2"/>
  <c r="H80" i="2" s="1"/>
  <c r="H81" i="2" s="1"/>
  <c r="E55" i="2"/>
  <c r="E80" i="2" s="1"/>
  <c r="D55" i="2"/>
  <c r="D80" i="2" s="1"/>
  <c r="D50" i="2"/>
  <c r="D52" i="2" s="1"/>
  <c r="G50" i="2"/>
  <c r="G52" i="2" s="1"/>
  <c r="F50" i="2"/>
  <c r="F52" i="2" s="1"/>
  <c r="G45" i="2"/>
  <c r="F45" i="2"/>
  <c r="F80" i="2" l="1"/>
  <c r="B56" i="2"/>
  <c r="D81" i="2"/>
  <c r="E81" i="2"/>
  <c r="B102" i="2"/>
  <c r="B74" i="2"/>
  <c r="B76" i="2" s="1"/>
  <c r="G81" i="2"/>
  <c r="P113" i="2"/>
  <c r="N113" i="2"/>
  <c r="O113" i="2"/>
  <c r="H50" i="2"/>
  <c r="H52" i="2" s="1"/>
  <c r="H94" i="2"/>
  <c r="H95" i="2" s="1"/>
  <c r="H57" i="2"/>
  <c r="H59" i="2" s="1"/>
  <c r="E50" i="2"/>
  <c r="E52" i="2" s="1"/>
  <c r="B57" i="2" l="1"/>
  <c r="B59" i="2" s="1"/>
  <c r="F81" i="2"/>
  <c r="H45" i="2"/>
  <c r="E45" i="2"/>
  <c r="H39" i="2"/>
  <c r="H40" i="2" s="1"/>
  <c r="G39" i="2"/>
  <c r="G40" i="2" s="1"/>
  <c r="F39" i="2"/>
  <c r="E39" i="2"/>
  <c r="D39" i="2"/>
  <c r="D40" i="2" s="1"/>
  <c r="F36" i="2"/>
  <c r="E36" i="2"/>
  <c r="H33" i="2"/>
  <c r="E28" i="2"/>
  <c r="F28" i="2"/>
  <c r="H20" i="2"/>
  <c r="H25" i="2" s="1"/>
  <c r="E19" i="2"/>
  <c r="F19" i="2"/>
  <c r="D20" i="2"/>
  <c r="H15" i="2"/>
  <c r="H6" i="2"/>
  <c r="H14" i="2" s="1"/>
  <c r="G6" i="2"/>
  <c r="G14" i="2" s="1"/>
  <c r="F6" i="2"/>
  <c r="F14" i="2" s="1"/>
  <c r="E6" i="2"/>
  <c r="E14" i="2" s="1"/>
  <c r="H10" i="2"/>
  <c r="F20" i="2" l="1"/>
  <c r="F25" i="2" s="1"/>
  <c r="E20" i="2"/>
  <c r="E25" i="2" s="1"/>
  <c r="D25" i="2"/>
  <c r="E40" i="2"/>
  <c r="F40" i="2"/>
  <c r="G25" i="2"/>
  <c r="H16" i="2"/>
  <c r="E10" i="2" l="1"/>
  <c r="F10" i="2"/>
  <c r="G10" i="2"/>
  <c r="G12" i="2" s="1"/>
  <c r="G15" i="2" s="1"/>
  <c r="G16" i="2" s="1"/>
  <c r="E33" i="2"/>
  <c r="F33" i="2"/>
  <c r="G33" i="2"/>
  <c r="G57" i="2"/>
  <c r="G59" i="2" s="1"/>
  <c r="F101" i="2"/>
  <c r="E100" i="2"/>
  <c r="F100" i="2"/>
  <c r="G100" i="2"/>
  <c r="G102" i="2" l="1"/>
  <c r="F102" i="2"/>
  <c r="F12" i="2"/>
  <c r="F15" i="2" s="1"/>
  <c r="F16" i="2" s="1"/>
  <c r="E12" i="2"/>
  <c r="E15" i="2" s="1"/>
  <c r="E16" i="2" s="1"/>
  <c r="E101" i="2"/>
  <c r="E102" i="2" l="1"/>
  <c r="D56" i="2"/>
  <c r="D74" i="2" l="1"/>
  <c r="D76" i="2" l="1"/>
  <c r="F57" i="2"/>
  <c r="F59" i="2" s="1"/>
  <c r="E57" i="2" l="1"/>
  <c r="E59" i="2" s="1"/>
  <c r="D100" i="2" l="1"/>
  <c r="D45" i="2"/>
  <c r="D57" i="2" l="1"/>
  <c r="D59" i="2" s="1"/>
  <c r="D102" i="2"/>
  <c r="D10" i="2"/>
  <c r="D12" i="2" l="1"/>
  <c r="B12" i="2"/>
  <c r="B15" i="2" s="1"/>
  <c r="B16" i="2" s="1"/>
  <c r="D33" i="2"/>
  <c r="D15" i="2" l="1"/>
  <c r="D6" i="2" l="1"/>
  <c r="D14" i="2" s="1"/>
  <c r="D16" i="2" s="1"/>
</calcChain>
</file>

<file path=xl/sharedStrings.xml><?xml version="1.0" encoding="utf-8"?>
<sst xmlns="http://schemas.openxmlformats.org/spreadsheetml/2006/main" count="140" uniqueCount="120">
  <si>
    <t>Tapsprosent utlån</t>
  </si>
  <si>
    <t>Begrunnelse og definisjon</t>
  </si>
  <si>
    <t xml:space="preserve">Alternative Resultatmål (APM'er) </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</si>
  <si>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</si>
  <si>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</si>
  <si>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</si>
  <si>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</si>
  <si>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</si>
  <si>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</si>
  <si>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</si>
  <si>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</si>
  <si>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</si>
  <si>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</si>
  <si>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Periodens res. annualisert Eks. renter hybridkapital</t>
  </si>
  <si>
    <t>Sum driftskostnader</t>
  </si>
  <si>
    <t>Kostnadsprosent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</si>
  <si>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</si>
  <si>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</si>
  <si>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</si>
  <si>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</si>
  <si>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Misligholdte engasjement i prosent av brutto utlån inkl. SB1 Boligkreditt og SB1 Næringskreditt</t>
  </si>
  <si>
    <t>Delt på snitt. Brutto utlån til kunder inkl. SB1 Boligkreditt og SB1 Næringskreditt</t>
  </si>
  <si>
    <t>Tapsprosent utlån til kunder</t>
  </si>
  <si>
    <t>Tap på utlån annualisert</t>
  </si>
  <si>
    <t>Innskudd fra kunder ved utgangen av perioden</t>
  </si>
  <si>
    <t>Innskuddsvekst (mill)</t>
  </si>
  <si>
    <t>Innskuddsvekst siste 12 mnd</t>
  </si>
  <si>
    <t>3 måneders pengemarkedsrenter (Nibor), mill kroner</t>
  </si>
  <si>
    <t>Fratrukket brutto utlån til kunder inkl SB1 Boligkreditt og SB1 Næringskreditt ved utgangen samme periode forrige år (kvartal)</t>
  </si>
  <si>
    <t>Delt på Brutto utlån til kunder inkl SB1 Boligkreditt og SB1 Næringskreditt ved utgangen samme periode forrige år (kvartal)</t>
  </si>
  <si>
    <t>Innskudd fra kunder ved utgangen av samme periode forrige år (kvartal)</t>
  </si>
  <si>
    <t xml:space="preserve">Alternative resultatmål i BN Bank med definisjoner: </t>
  </si>
  <si>
    <t>Egenkapitalrentabilitet</t>
  </si>
  <si>
    <t>Egenkapitalrentabilitet gir relevant informasjon om lønnsomheten i BN Bank ved å måle evne til å genere lønnsomhet fra aksjonærens investering. Egenkapitalrentabiliet er et av de viktigste finansielle måltall til BN Bank, og beregnes som aksjonærenes andel av resultatet for perioden delt på gjennomsnittlig egenkapital, fratrukket hybridkapital (fondsobligasjoner klassifisert som egenkapital).</t>
  </si>
  <si>
    <t>Rentenetto</t>
  </si>
  <si>
    <t>Nøkkeltallet gir informasjon om hvor stor andel netto rente- og kredittprovisjonsinntekter utgjør av gjennomsnittlig forvaltningskapital i perioden.</t>
  </si>
  <si>
    <t xml:space="preserve">Kostnadsprosent er inkludert for å gi informasjon om sammenhengen mellom inntekter og kostnader, og er vurdert å være et av de viktigste finansielle måltall i BN Bank. Beregnes som sum driftskostnader dividert med sum inntekter. </t>
  </si>
  <si>
    <t>Kostnadsprosent justert for egenkapitalpåslag og avkastning i Sparebank 1 Næringskreditt</t>
  </si>
  <si>
    <t xml:space="preserve">Innskuddsdekning  </t>
  </si>
  <si>
    <t>Andel utlån finansiert via innskudd</t>
  </si>
  <si>
    <t>Innskuddsdekning beregnes som andel innskudd fra kunder i prosent av netto utlån til kunder. Måltallet gir relevant informasjon om likviditeten til BN Bank.</t>
  </si>
  <si>
    <t>Dette måltallet viser innskuddsdekning tatt hensyn til de utlån om er solgt til SpareBank 1 Boligkreditt og SpareBank 1 Næringskreditt ved utløpet av perioden. Nøkkeltallet beregnes som ovenfor, men inkluderer da utlån solgt til SB1 Boligkreditt og SB1 Næringskreditt.</t>
  </si>
  <si>
    <t xml:space="preserve">Nøkkeltallet gir et bilde på utviklingen i bankens innskuddsvolum og beregnes som innskudd fra kunder ved utløpet av perioden minus innskudd fra kunder ved starten av perioden, dividert på innskudd fra kunder ved starten av perioden. </t>
  </si>
  <si>
    <t>Utlånsvekst (brutto) siste 12 måneder</t>
  </si>
  <si>
    <t>Dette er et av de viktigste måltallene for BN Bank og gir informasjon om aktivitet og vekst i bankens utlånsvirksomhet. Nøkkeltallet beregnes som brutto utlån ved utløpet av perioden minus brutto utlån ved starte på perioden delt å brutto utlån ved starten på perioden.</t>
  </si>
  <si>
    <t>Gjennomsnittlig forvaltningskapital</t>
  </si>
  <si>
    <t>Likviditetsdekning (LCR)</t>
  </si>
  <si>
    <t>Dette er et viktig nøkkeltall i oppfølging av bankens likvidietssituasjon og beregnes som forholdet mellom likvide eiendeler i forhold til netto likviditetsutgang i et 30 dagers alvorlig stresscenario. Oppgis som gjennomsnitt pr år.</t>
  </si>
  <si>
    <t>Som en del av strategien for finansiering av utlån  overfører BN Bank en vesentlig andel av sine utlån til næringseiendom til kredittforetaket Sparebank 1 Næringskreditt, se note 8 i årsrapporten for nærmere beskrivelse. BN Bank forvalter disse utlånene og et viktig internt måltall er derfor kostnadsprosent justert for egenkapitalpåslag og avkastning fra SB1 Næringskreditt. Dette beregnes som ovenfor, men he rer inntektene oppjustert med egenkapitalpåslag og avkastning  fra SB1 Næringskreditt.</t>
  </si>
  <si>
    <t>For å oppnå en gunstigst finansering av sine utlån selger BN Bank store deler av sine utlån til SB1 Boligkreditt og SB1 Næringskreditt. BN Bank har i henhold til avtalene forvaltningsrett over disse utlånene og sum utlån inklusive de overførte utlånene er viktige måletall for banken. Nøkkeltalle beregnes som brutto utlån i BN Bank pluss brutto utlån i SB1 Boligkreditt pluss brutto ulån i SB 1 Næringskreditt.</t>
  </si>
  <si>
    <t>Brutto utlån inklusive utlån solgt til SB1 Boligkreditt og SB1 Næringskreditt</t>
  </si>
  <si>
    <t>Utlånsvekst (brutto) siste 12 mnd inklusive SB1 Boligkreditt og SB1 Næringskreditt</t>
  </si>
  <si>
    <t xml:space="preserve">Dette er et av de viktigste måltallene for BN Bank og gir informasjon om aktivitet og vekst i bankens totale utlånsvirksomhet inlise lån solgt til kredittforetakene.  Banken benytter kredittforetakene som finansieringskilde, og dette nøkkeltallet som inkluderer lån solgt til kredittforetakene reflekterer aktiviteten og veksten i den totale utlånsvirksomheten. Nøkkeltallet er beregnet som Brutto utlån inkludert lån solgt til SpareBank 1 Boligkrditt og SpareBank 1 Næringskreditt ved utløpet av perioden minus Brutto utlån inkludert lån solgt til SpareBank 1 Boligkreditt og SpareBank 1 Næringskreditt ved starten av perioden dividert på Brutto utlån inkludert lån solgt til SpareBank 1 Boligkreditt og SpareBank 1 Næringskreditt ved  starten av perioden. </t>
  </si>
  <si>
    <t>Misligholdte og andre tapsutsatte engasjement i % av brutto utlån</t>
  </si>
  <si>
    <t>Tapsprosent utlån inklusive utlån overført til  SB1 Boligkreditt og SB1 Næringskreditt</t>
  </si>
  <si>
    <t>Misligholdte og andre tapsutsatte engasjement i % av brutto utlån inklusive utlån overført til  SB1 Boligkreditt og SB1 Næringskreditt</t>
  </si>
  <si>
    <t>Netto rente- og kredittprovisjonsinntekter</t>
  </si>
  <si>
    <t>Annualisert beløp</t>
  </si>
  <si>
    <t>Gjennomsnitlig forvaltningskapital</t>
  </si>
  <si>
    <t>Forvaltningskapital</t>
  </si>
  <si>
    <t>EK-påslag og avkastning Egenkapital SB1 Næringskreditt</t>
  </si>
  <si>
    <t>SUM inntekter</t>
  </si>
  <si>
    <t>Kostnadsprosent inkl egenakpitalpåslag og avkatning på egenkapital SB1 Næringskreditt</t>
  </si>
  <si>
    <t>Innskuddsdekning</t>
  </si>
  <si>
    <t>Netto utlån til kunder</t>
  </si>
  <si>
    <t>Sum inntekter inkl EK-påslag og avkastning EK</t>
  </si>
  <si>
    <t>Utlånsvekst i millioner kroner</t>
  </si>
  <si>
    <t>Utlånsvekst siste 12 mnd</t>
  </si>
  <si>
    <t>Brutto utlån til kunder ved utgangen av perioden</t>
  </si>
  <si>
    <t>Brutto utlån til kunder ved utgangen av samme periode forrige år</t>
  </si>
  <si>
    <t>Gjennomsnittlig forvaltningskapital inneværende år</t>
  </si>
  <si>
    <t>Nøkkeltallet beregnes som et gjennomsnitt av kvartalsvis forvaltningskapital inneværende år.</t>
  </si>
  <si>
    <t>Overført til Sparebank 1 Boligkreditt AS (jfr. note 7)</t>
  </si>
  <si>
    <t>Overført til Sparebank 1 Næringskreditt AS (jfr. note 7)</t>
  </si>
  <si>
    <t>Brutto utlån BN Bank ASA (jfr. note 7)</t>
  </si>
  <si>
    <t>Andel utlån finansiert via innskudd, inklusive utlån solgt til SB1 Boligkreditt og SB1 Næringskreditt</t>
  </si>
  <si>
    <t>Innskudd ved utgangen av perioden</t>
  </si>
  <si>
    <t>Forholdstallet presenteres fordi det gir relevant informasjon om bankens kreditteksponering. Beregnes som sum misligholdte og andre tapsutsatte engasjement dividert med sum utlån inkludert lån solgt til SB1 Boligkreditt og SB1 Næringskreditt ved utløpet av perioden</t>
  </si>
  <si>
    <t>Tap på utlån i resultatet</t>
  </si>
  <si>
    <t>Forholdstallet presenteres fordi det gir relevant informasjon om bankens kreditteksponering. Beregnes som sum misligholdte  og andre tapsutsatte engasjement dividert med sum utlån ved utløpet av perioden.</t>
  </si>
  <si>
    <t>SUM Misligholdte og øvrig tapsutsatte utlån</t>
  </si>
  <si>
    <t>Brutto mislighold over 90 dager (jfr. note 6)</t>
  </si>
  <si>
    <t>Brutto Øvrig tapsutsatte utlån (jfr. note 6)</t>
  </si>
  <si>
    <t>Delt på snitt. Brutto utlån til kunder</t>
  </si>
  <si>
    <t>Tapsprosent utlån til kunder, inklusive utlån til SB1 Boligkreditt og SB1 Næringskreditt</t>
  </si>
  <si>
    <t xml:space="preserve">Nøkkeltallet angir resultatført tapskostnad som funksjon av brutto utlån inkludert lån overført til kredittforetak. Tallet beregnes som Tap resultatført i perioden dividert med gjennomsnittlig brutto utlån inneværende år basert på kvartalsvise observasjoner, inkludert lån solgt til SB 1 Boligkreditt og SB1 Næringskreditt. Ved opplysninger om tapsprosent for kortere perioder enn hele år, blir resultatført tapskostnad annualisert. </t>
  </si>
  <si>
    <t xml:space="preserve">Nøkkeltallet angir resultatført tapskostnad som funksjon av brutto utlån. Tallet beregnes som Tap resultatført i perioden dividert med gjennomsnittlig brutto utlån inneværende år basert på kvartalsvise observasjoner. Ved opplysninger om tapsprosent for kortere perioder enn hele år, blir resultatført tapskostnad annualisert. </t>
  </si>
  <si>
    <t>Renter på Utlån til Bedriftsmarked, bankbalansen, mill kroner</t>
  </si>
  <si>
    <t>Renter på Utlån til Bedriftsmarked, Sparebank 1 Næringskreditt, mill kroner</t>
  </si>
  <si>
    <t>Dager akkumulert</t>
  </si>
  <si>
    <t>3 måneders Nibor, prosent, gjennomsnitt akkumulert</t>
  </si>
  <si>
    <t>Snitt utlånsvolum Bedriftsmarked, bankbalansen, mill kroner</t>
  </si>
  <si>
    <t>Snitt utlånsvolum Bedriftsmarked, Sparebank 1 Næringskreditt, mill kroner</t>
  </si>
  <si>
    <t>Rentemargin, mill kroner</t>
  </si>
  <si>
    <t>Snitt utlånsvolum Personmarked, bankbalansen, mill kroner</t>
  </si>
  <si>
    <t>Renter på Utlån til Personmarked, bankbalansen, mill kroner</t>
  </si>
  <si>
    <t>Snitt utlånsvolum Personmarked, Sparebank 1 Boligkreditt, mill kroner</t>
  </si>
  <si>
    <t>Renter på Utlån til Personmarked, Sparebank 1 Boligkreditt, mill kroner</t>
  </si>
  <si>
    <t>Renter på Innskudd</t>
  </si>
  <si>
    <t>Rentemargin på innskudd, mill kroner</t>
  </si>
  <si>
    <t>Snitt innskuddsvolum, mill kroner</t>
  </si>
  <si>
    <t>Netto eller brutto, hva blir riktig?</t>
  </si>
  <si>
    <t>SUM overførte utlån</t>
  </si>
  <si>
    <t xml:space="preserve">SUM utlån   </t>
  </si>
  <si>
    <t>SUM Utlån BM + PM konsern</t>
  </si>
  <si>
    <t>Beregnet snitt netto utlån konsern</t>
  </si>
  <si>
    <t>Beregnet snitt brutto utlån</t>
  </si>
  <si>
    <t>Beregnet snitt brutto utlån inkl BK/NK</t>
  </si>
  <si>
    <t>Andre inntekter</t>
  </si>
  <si>
    <t>Rentekostnader og lignende kostnader</t>
  </si>
  <si>
    <t>Renter på ustedte verdipapirer, etc</t>
  </si>
  <si>
    <t>Utlånsmargin mot 3 måneders nibor - Privatmarked, prosent</t>
  </si>
  <si>
    <t>Utlånsmargin mot 3 måneders nibor - Næringsliv, prosent</t>
  </si>
  <si>
    <t xml:space="preserve">Innskuddsmargin mot 3 måneders nibor </t>
  </si>
  <si>
    <t>Innskuddsmarginer målt mot 3 måneders Nibor</t>
  </si>
  <si>
    <t>Utlånsmargin Bedriftsmarked og Personmarked målt mot 3 måneders Nibor, inkludet utlån solgt til Sparebank 1 Boligkreditt (SB1 BK) og Sparebank 1 Næringskreditt (SB1 NK).</t>
  </si>
  <si>
    <t>Utlånsmarginen gir informasjon om bankens renteinntekter på utlån til kunder ved å måle rentemarginen relativt til 3 måneders pengemarkedsrente.  Banken benytter kredittforetak som finansieringskilde, og utlånsmarginene er inkludert renteinntekter på utlån solgt til SB1 BK og SB1 NK, da dette best reflekterer bankens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 Snitt utlån er beregnet basert på daglige observasjoner.</t>
  </si>
  <si>
    <t>Innskuddsmargin gir informasjon om bankens netto rentekostnader på innskudd fra kunder ved å måle rentemargin relativt til 3 måneders pengemarkedsrente. Innskuddsmarginen er beregnet som netto rentekostnader på innskudd fratrukket renteinntekter tilsvarende 3 måneders pengemarkedsrente, dividert på snitt innskudd for perioden. Snitt innskudd er beregnet basert på daglige observasjoner.</t>
  </si>
  <si>
    <t xml:space="preserve">Nøkkeltall som er regulert i IFRS eller annen lovgivning er ikke regnet som alternative resultatmål. Det samme gjelder for ikke-finansiell informasjon. BN Bank sine alternative resultatmål er i hovedsak presentert i nøkkeltallsoppstillingen og i årsberetningen.  APM'ene som nevnt under har vært brukt konsistent over tid. </t>
  </si>
  <si>
    <t xml:space="preserve">BN Bank benytter flere alternative resultatmål (APM'er) som gir nyttig informasjon for å supplere regnskapet. Dette er nøkkeltall som ikke er definert i IFRS og som ikke nødvendigvis er direkte sammenlignbare med andre selskapers resultatmål. APM'er er ikke ment å erstatte eller overskygge regnskapstallene, men er inkludert i våre rapporter for å gi innsikt og forståelse for BN Bank sin resultatoppnåelse og representerer viktige måltall for hvordan ledelsen styrer banken.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</si>
</sst>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12" x14ac:knownFonts="1">
    <font>
      <sz val="11"/>
      <color theme="1"/>
      <name val="Calibri"/>
      <family val="2"/>
      <scheme val="minor"/>
    </font>
    <font>
      <b/>
      <sz val="11"/>
      <color theme="1"/>
      <name val="Calibri"/>
      <family val="2"/>
      <scheme val="minor"/>
    </font>
    <font>
      <sz val="11"/>
      <name val="Calibri"/>
      <family val="2"/>
      <scheme val="minor"/>
    </font>
    <font>
      <sz val="14"/>
      <color theme="1"/>
      <name val="Calibri"/>
      <family val="2"/>
      <scheme val="minor"/>
    </font>
    <font>
      <sz val="10"/>
      <color rgb="FF000000"/>
      <name val="Arial Narrow"/>
      <family val="2"/>
    </font>
    <font>
      <sz val="11"/>
      <color theme="1"/>
      <name val="Calibri"/>
      <family val="2"/>
      <scheme val="minor"/>
    </font>
    <font>
      <b/>
      <sz val="11"/>
      <name val="Calibri"/>
      <family val="2"/>
      <scheme val="minor"/>
    </font>
    <font>
      <sz val="10"/>
      <name val="Arial"/>
      <family val="2"/>
    </font>
    <font>
      <sz val="11"/>
      <color rgb="FFFF0000"/>
      <name val="Calibri"/>
      <family val="2"/>
      <scheme val="minor"/>
    </font>
    <font>
      <b/>
      <sz val="11"/>
      <color rgb="FFFF0000"/>
      <name val="Calibri"/>
      <family val="2"/>
      <scheme val="minor"/>
    </font>
    <font>
      <sz val="11"/>
      <color theme="1" tint="0.249977111117893"/>
      <name val="Calibri"/>
      <family val="2"/>
      <scheme val="minor"/>
    </font>
    <font>
      <b/>
      <sz val="11"/>
      <color theme="1" tint="0.249977111117893"/>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9">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top/>
      <bottom style="medium">
        <color indexed="55"/>
      </bottom>
      <diagonal/>
    </border>
  </borders>
  <cellStyleXfs count="4">
    <xf numFmtId="0" fontId="0" fillId="0" borderId="0"/>
    <xf numFmtId="43" fontId="5" fillId="0" borderId="0" applyFont="0" applyFill="0" applyBorder="0" applyAlignment="0" applyProtection="0"/>
    <xf numFmtId="9" fontId="5" fillId="0" borderId="0" applyFont="0" applyFill="0" applyBorder="0" applyAlignment="0" applyProtection="0"/>
    <xf numFmtId="0" fontId="7" fillId="0" borderId="0"/>
  </cellStyleXfs>
  <cellXfs count="88">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left" wrapText="1"/>
    </xf>
    <xf numFmtId="0" fontId="2" fillId="2" borderId="0" xfId="0" applyFont="1" applyFill="1" applyBorder="1" applyAlignment="1"/>
    <xf numFmtId="0" fontId="2" fillId="3" borderId="0" xfId="0" applyFont="1" applyFill="1" applyBorder="1" applyAlignment="1"/>
    <xf numFmtId="0" fontId="2" fillId="2" borderId="0" xfId="0" applyFont="1" applyFill="1" applyBorder="1" applyAlignment="1">
      <alignment wrapText="1"/>
    </xf>
    <xf numFmtId="0" fontId="3" fillId="0" borderId="0" xfId="0" applyNumberFormat="1" applyFont="1"/>
    <xf numFmtId="0" fontId="4" fillId="0" borderId="0" xfId="0" applyFont="1"/>
    <xf numFmtId="0" fontId="4" fillId="0" borderId="0" xfId="0" applyFont="1" applyAlignment="1">
      <alignment horizontal="left" vertical="center"/>
    </xf>
    <xf numFmtId="0" fontId="0" fillId="0" borderId="0" xfId="0" applyAlignment="1">
      <alignment wrapText="1"/>
    </xf>
    <xf numFmtId="164" fontId="2" fillId="0" borderId="1" xfId="1" applyNumberFormat="1" applyFont="1" applyBorder="1"/>
    <xf numFmtId="0" fontId="0" fillId="0" borderId="1" xfId="0" applyBorder="1" applyAlignment="1">
      <alignment wrapText="1"/>
    </xf>
    <xf numFmtId="0" fontId="1" fillId="0" borderId="1" xfId="0" applyFont="1" applyBorder="1"/>
    <xf numFmtId="0" fontId="0" fillId="0" borderId="0" xfId="0" applyFill="1"/>
    <xf numFmtId="0" fontId="1" fillId="5" borderId="6" xfId="0" applyFont="1" applyFill="1" applyBorder="1" applyAlignment="1">
      <alignment wrapText="1"/>
    </xf>
    <xf numFmtId="0" fontId="1" fillId="5" borderId="5" xfId="0" applyFont="1" applyFill="1" applyBorder="1" applyAlignment="1">
      <alignment wrapText="1"/>
    </xf>
    <xf numFmtId="165" fontId="6" fillId="4" borderId="5" xfId="2" applyNumberFormat="1" applyFont="1" applyFill="1" applyBorder="1"/>
    <xf numFmtId="0" fontId="8" fillId="0" borderId="0" xfId="0" applyFont="1"/>
    <xf numFmtId="0" fontId="8" fillId="0" borderId="0" xfId="0" applyFont="1" applyBorder="1"/>
    <xf numFmtId="43" fontId="8" fillId="0" borderId="0" xfId="0" applyNumberFormat="1" applyFont="1"/>
    <xf numFmtId="0" fontId="8" fillId="0" borderId="0" xfId="0" applyFont="1" applyFill="1"/>
    <xf numFmtId="165" fontId="6" fillId="5" borderId="5" xfId="2" applyNumberFormat="1" applyFont="1" applyFill="1" applyBorder="1"/>
    <xf numFmtId="10" fontId="6" fillId="5" borderId="6" xfId="2" applyNumberFormat="1" applyFont="1" applyFill="1" applyBorder="1"/>
    <xf numFmtId="10" fontId="6" fillId="5" borderId="5" xfId="2" applyNumberFormat="1" applyFont="1" applyFill="1" applyBorder="1"/>
    <xf numFmtId="0" fontId="2" fillId="0" borderId="0" xfId="0" applyFont="1"/>
    <xf numFmtId="0" fontId="2" fillId="0" borderId="0" xfId="0" applyFont="1" applyBorder="1"/>
    <xf numFmtId="0" fontId="2" fillId="0" borderId="0" xfId="0" applyFont="1" applyFill="1"/>
    <xf numFmtId="14" fontId="6" fillId="0" borderId="1" xfId="0" applyNumberFormat="1" applyFont="1" applyBorder="1" applyAlignment="1">
      <alignment wrapText="1"/>
    </xf>
    <xf numFmtId="164" fontId="2" fillId="0" borderId="0" xfId="1" applyNumberFormat="1" applyFont="1" applyFill="1"/>
    <xf numFmtId="164" fontId="8" fillId="0" borderId="0" xfId="1" applyNumberFormat="1" applyFont="1" applyFill="1"/>
    <xf numFmtId="0" fontId="0" fillId="0" borderId="0" xfId="0" applyAlignment="1">
      <alignment horizontal="left" wrapText="1"/>
    </xf>
    <xf numFmtId="165" fontId="6" fillId="5" borderId="6" xfId="2" applyNumberFormat="1" applyFont="1" applyFill="1" applyBorder="1"/>
    <xf numFmtId="0" fontId="1" fillId="0" borderId="1" xfId="0" applyFont="1" applyBorder="1" applyAlignment="1"/>
    <xf numFmtId="0" fontId="0" fillId="0" borderId="0" xfId="0" applyAlignment="1"/>
    <xf numFmtId="0" fontId="0" fillId="0" borderId="2" xfId="0" applyBorder="1" applyAlignment="1"/>
    <xf numFmtId="0" fontId="0" fillId="0" borderId="3" xfId="0" applyBorder="1" applyAlignment="1"/>
    <xf numFmtId="0" fontId="1" fillId="4" borderId="4" xfId="0" applyFont="1" applyFill="1" applyBorder="1" applyAlignment="1"/>
    <xf numFmtId="0" fontId="0" fillId="0" borderId="0" xfId="0" applyFill="1" applyAlignment="1"/>
    <xf numFmtId="0" fontId="0" fillId="0" borderId="1" xfId="0" applyBorder="1" applyAlignment="1"/>
    <xf numFmtId="0" fontId="1" fillId="5" borderId="6" xfId="0" applyFont="1" applyFill="1" applyBorder="1" applyAlignment="1"/>
    <xf numFmtId="0" fontId="1" fillId="5" borderId="5" xfId="0" applyFont="1" applyFill="1" applyBorder="1" applyAlignment="1"/>
    <xf numFmtId="9" fontId="6" fillId="5" borderId="6" xfId="2" applyFont="1" applyFill="1" applyBorder="1" applyAlignment="1"/>
    <xf numFmtId="0" fontId="2" fillId="0" borderId="0" xfId="0" applyFont="1" applyAlignment="1"/>
    <xf numFmtId="0" fontId="2" fillId="0" borderId="1" xfId="0" applyFont="1" applyBorder="1" applyAlignment="1"/>
    <xf numFmtId="10" fontId="2" fillId="0" borderId="0" xfId="2" applyNumberFormat="1" applyFont="1"/>
    <xf numFmtId="0" fontId="2" fillId="0" borderId="0" xfId="0" applyFont="1" applyFill="1" applyAlignment="1"/>
    <xf numFmtId="0" fontId="1" fillId="0" borderId="7" xfId="0" applyFont="1" applyFill="1" applyBorder="1" applyAlignment="1"/>
    <xf numFmtId="165" fontId="6" fillId="0" borderId="7" xfId="2" applyNumberFormat="1" applyFont="1" applyFill="1" applyBorder="1"/>
    <xf numFmtId="0" fontId="0" fillId="0" borderId="0" xfId="0" applyFill="1" applyBorder="1"/>
    <xf numFmtId="165" fontId="9" fillId="0" borderId="7" xfId="2" applyNumberFormat="1" applyFont="1" applyFill="1" applyBorder="1"/>
    <xf numFmtId="0" fontId="10" fillId="0" borderId="0" xfId="0" applyFont="1" applyFill="1" applyAlignment="1"/>
    <xf numFmtId="10" fontId="10" fillId="0" borderId="0" xfId="2" applyNumberFormat="1" applyFont="1"/>
    <xf numFmtId="0" fontId="10" fillId="0" borderId="0" xfId="0" applyFont="1" applyFill="1"/>
    <xf numFmtId="0" fontId="0" fillId="0" borderId="0" xfId="0" applyAlignment="1">
      <alignment horizontal="left" wrapText="1"/>
    </xf>
    <xf numFmtId="0" fontId="0" fillId="0" borderId="0" xfId="0" applyFont="1" applyAlignment="1">
      <alignment horizontal="left" wrapText="1"/>
    </xf>
    <xf numFmtId="0" fontId="2" fillId="2" borderId="8" xfId="0" applyFont="1" applyFill="1" applyBorder="1" applyAlignment="1"/>
    <xf numFmtId="0" fontId="0" fillId="0" borderId="0" xfId="0" applyBorder="1" applyAlignment="1">
      <alignment horizontal="left" wrapText="1"/>
    </xf>
    <xf numFmtId="0" fontId="0" fillId="0" borderId="0" xfId="0" applyFill="1" applyBorder="1" applyAlignment="1"/>
    <xf numFmtId="164" fontId="6" fillId="5" borderId="6" xfId="1" applyNumberFormat="1" applyFont="1" applyFill="1" applyBorder="1"/>
    <xf numFmtId="0" fontId="6" fillId="0" borderId="0" xfId="0" applyFont="1" applyFill="1" applyBorder="1" applyAlignment="1"/>
    <xf numFmtId="10" fontId="11" fillId="0" borderId="0" xfId="2" applyNumberFormat="1" applyFont="1" applyFill="1" applyBorder="1"/>
    <xf numFmtId="10" fontId="6" fillId="0" borderId="0" xfId="2" applyNumberFormat="1" applyFont="1" applyFill="1" applyBorder="1"/>
    <xf numFmtId="0" fontId="6" fillId="0" borderId="0" xfId="0" applyFont="1" applyFill="1"/>
    <xf numFmtId="4" fontId="10" fillId="0" borderId="0" xfId="0" applyNumberFormat="1" applyFont="1" applyFill="1"/>
    <xf numFmtId="4" fontId="2" fillId="0" borderId="0" xfId="0" applyNumberFormat="1" applyFont="1" applyFill="1"/>
    <xf numFmtId="0" fontId="2" fillId="0" borderId="1" xfId="0" applyFont="1" applyFill="1" applyBorder="1" applyAlignment="1"/>
    <xf numFmtId="10" fontId="10" fillId="0" borderId="0" xfId="2" applyNumberFormat="1" applyFont="1" applyFill="1"/>
    <xf numFmtId="10" fontId="2" fillId="0" borderId="0" xfId="2" applyNumberFormat="1" applyFont="1" applyFill="1"/>
    <xf numFmtId="0" fontId="1" fillId="0" borderId="0" xfId="0" applyFont="1" applyFill="1"/>
    <xf numFmtId="164" fontId="10" fillId="0" borderId="0" xfId="1" applyNumberFormat="1" applyFont="1" applyFill="1"/>
    <xf numFmtId="164" fontId="10" fillId="0" borderId="1" xfId="1" applyNumberFormat="1" applyFont="1" applyFill="1" applyBorder="1"/>
    <xf numFmtId="164" fontId="8" fillId="0" borderId="0" xfId="0" applyNumberFormat="1" applyFont="1" applyFill="1"/>
    <xf numFmtId="10" fontId="2" fillId="6" borderId="0" xfId="2" applyNumberFormat="1" applyFont="1" applyFill="1"/>
    <xf numFmtId="14" fontId="8" fillId="0" borderId="0" xfId="0" applyNumberFormat="1" applyFont="1"/>
    <xf numFmtId="164" fontId="8" fillId="0" borderId="0" xfId="0" applyNumberFormat="1" applyFont="1"/>
    <xf numFmtId="164" fontId="2" fillId="3" borderId="0" xfId="1" applyNumberFormat="1" applyFont="1" applyFill="1"/>
    <xf numFmtId="0" fontId="0" fillId="3" borderId="0" xfId="0" applyFill="1"/>
    <xf numFmtId="0" fontId="0" fillId="0" borderId="0" xfId="0" applyFill="1" applyAlignment="1">
      <alignment horizontal="left"/>
    </xf>
    <xf numFmtId="0" fontId="0" fillId="0" borderId="1" xfId="0" applyFill="1" applyBorder="1" applyAlignment="1"/>
    <xf numFmtId="164" fontId="2" fillId="0" borderId="1" xfId="1" applyNumberFormat="1" applyFont="1" applyFill="1" applyBorder="1"/>
    <xf numFmtId="164" fontId="5" fillId="0" borderId="0" xfId="1" applyNumberFormat="1" applyFont="1" applyFill="1"/>
    <xf numFmtId="164" fontId="2" fillId="0" borderId="1" xfId="0" applyNumberFormat="1" applyFont="1" applyFill="1" applyBorder="1"/>
    <xf numFmtId="164" fontId="2" fillId="0" borderId="0" xfId="1" applyNumberFormat="1" applyFont="1" applyFill="1" applyBorder="1"/>
    <xf numFmtId="164" fontId="2" fillId="0" borderId="0" xfId="0" applyNumberFormat="1" applyFont="1" applyFill="1"/>
    <xf numFmtId="164" fontId="8" fillId="0" borderId="0" xfId="1" applyNumberFormat="1" applyFont="1" applyFill="1" applyBorder="1"/>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23" totalsRowShown="0" dataDxfId="2">
  <autoFilter ref="A5:B23" xr:uid="{00000000-0009-0000-0100-000001000000}"/>
  <tableColumns count="2">
    <tableColumn id="1" xr3:uid="{00000000-0010-0000-0000-000001000000}" name="Alternative resultatmål i BN Bank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6"/>
  <sheetViews>
    <sheetView zoomScaleNormal="100" workbookViewId="0">
      <selection activeCell="A3" sqref="A3:B3"/>
    </sheetView>
  </sheetViews>
  <sheetFormatPr baseColWidth="10" defaultColWidth="11.42578125" defaultRowHeight="15" x14ac:dyDescent="0.25"/>
  <cols>
    <col min="1" max="1" width="54.85546875" customWidth="1"/>
    <col min="2" max="2" width="112.140625" customWidth="1"/>
  </cols>
  <sheetData>
    <row r="1" spans="1:4" ht="18.75" x14ac:dyDescent="0.3">
      <c r="A1" s="8" t="s">
        <v>2</v>
      </c>
      <c r="C1" s="15"/>
      <c r="D1" s="15"/>
    </row>
    <row r="2" spans="1:4" s="2" customFormat="1" ht="54.75" customHeight="1" x14ac:dyDescent="0.25">
      <c r="A2" s="87" t="s">
        <v>119</v>
      </c>
      <c r="B2" s="87"/>
      <c r="C2" s="79"/>
      <c r="D2" s="79"/>
    </row>
    <row r="3" spans="1:4" ht="33" customHeight="1" x14ac:dyDescent="0.25">
      <c r="A3" s="87" t="s">
        <v>118</v>
      </c>
      <c r="B3" s="87"/>
      <c r="C3" s="15"/>
      <c r="D3" s="15"/>
    </row>
    <row r="4" spans="1:4" ht="33" customHeight="1" x14ac:dyDescent="0.25">
      <c r="A4" s="4"/>
      <c r="B4" s="4"/>
    </row>
    <row r="5" spans="1:4" x14ac:dyDescent="0.25">
      <c r="A5" s="3" t="s">
        <v>31</v>
      </c>
      <c r="B5" s="3" t="s">
        <v>1</v>
      </c>
    </row>
    <row r="6" spans="1:4" ht="60" customHeight="1" x14ac:dyDescent="0.25">
      <c r="A6" s="5" t="s">
        <v>32</v>
      </c>
      <c r="B6" s="4" t="s">
        <v>33</v>
      </c>
    </row>
    <row r="7" spans="1:4" ht="44.25" customHeight="1" x14ac:dyDescent="0.25">
      <c r="A7" s="6" t="s">
        <v>34</v>
      </c>
      <c r="B7" s="4" t="s">
        <v>35</v>
      </c>
    </row>
    <row r="8" spans="1:4" ht="42.75" customHeight="1" x14ac:dyDescent="0.25">
      <c r="A8" s="5" t="s">
        <v>15</v>
      </c>
      <c r="B8" s="55" t="s">
        <v>36</v>
      </c>
    </row>
    <row r="9" spans="1:4" ht="75" x14ac:dyDescent="0.25">
      <c r="A9" s="7" t="s">
        <v>37</v>
      </c>
      <c r="B9" s="55" t="s">
        <v>48</v>
      </c>
    </row>
    <row r="10" spans="1:4" ht="33" customHeight="1" x14ac:dyDescent="0.25">
      <c r="A10" s="5" t="s">
        <v>38</v>
      </c>
      <c r="B10" s="4" t="s">
        <v>40</v>
      </c>
      <c r="C10" s="1"/>
    </row>
    <row r="11" spans="1:4" ht="47.25" customHeight="1" thickBot="1" x14ac:dyDescent="0.3">
      <c r="A11" s="57" t="s">
        <v>43</v>
      </c>
      <c r="B11" s="55" t="s">
        <v>44</v>
      </c>
      <c r="C11" s="55"/>
    </row>
    <row r="12" spans="1:4" ht="47.25" customHeight="1" x14ac:dyDescent="0.25">
      <c r="A12" s="7" t="s">
        <v>26</v>
      </c>
      <c r="B12" s="55" t="s">
        <v>42</v>
      </c>
      <c r="C12" s="55"/>
    </row>
    <row r="13" spans="1:4" x14ac:dyDescent="0.25">
      <c r="A13" s="7" t="s">
        <v>45</v>
      </c>
      <c r="B13" s="4" t="s">
        <v>71</v>
      </c>
    </row>
    <row r="14" spans="1:4" ht="30.75" thickBot="1" x14ac:dyDescent="0.3">
      <c r="A14" s="57" t="s">
        <v>46</v>
      </c>
      <c r="B14" s="55" t="s">
        <v>47</v>
      </c>
    </row>
    <row r="15" spans="1:4" ht="60" x14ac:dyDescent="0.25">
      <c r="A15" s="7" t="s">
        <v>50</v>
      </c>
      <c r="B15" s="32" t="s">
        <v>49</v>
      </c>
    </row>
    <row r="16" spans="1:4" ht="105" x14ac:dyDescent="0.25">
      <c r="A16" s="7" t="s">
        <v>51</v>
      </c>
      <c r="B16" s="55" t="s">
        <v>52</v>
      </c>
    </row>
    <row r="17" spans="1:3" ht="45" x14ac:dyDescent="0.25">
      <c r="A17" s="7" t="s">
        <v>39</v>
      </c>
      <c r="B17" s="55" t="s">
        <v>41</v>
      </c>
    </row>
    <row r="18" spans="1:3" ht="45" x14ac:dyDescent="0.25">
      <c r="A18" s="5" t="s">
        <v>0</v>
      </c>
      <c r="B18" s="55" t="s">
        <v>86</v>
      </c>
    </row>
    <row r="19" spans="1:3" ht="47.25" customHeight="1" x14ac:dyDescent="0.25">
      <c r="A19" s="7" t="s">
        <v>53</v>
      </c>
      <c r="B19" s="55" t="s">
        <v>79</v>
      </c>
    </row>
    <row r="20" spans="1:3" ht="60" x14ac:dyDescent="0.25">
      <c r="A20" s="7" t="s">
        <v>54</v>
      </c>
      <c r="B20" s="4" t="s">
        <v>85</v>
      </c>
    </row>
    <row r="21" spans="1:3" ht="46.5" customHeight="1" x14ac:dyDescent="0.25">
      <c r="A21" s="7" t="s">
        <v>55</v>
      </c>
      <c r="B21" s="4" t="s">
        <v>77</v>
      </c>
    </row>
    <row r="22" spans="1:3" ht="90" x14ac:dyDescent="0.25">
      <c r="A22" s="7" t="s">
        <v>115</v>
      </c>
      <c r="B22" s="56" t="s">
        <v>116</v>
      </c>
      <c r="C22" s="15"/>
    </row>
    <row r="23" spans="1:3" ht="60" x14ac:dyDescent="0.25">
      <c r="A23" s="5" t="s">
        <v>114</v>
      </c>
      <c r="B23" s="58" t="s">
        <v>117</v>
      </c>
      <c r="C23" s="15"/>
    </row>
    <row r="24" spans="1:3" x14ac:dyDescent="0.25">
      <c r="A24" s="9"/>
    </row>
    <row r="25" spans="1:3" x14ac:dyDescent="0.25">
      <c r="A25" s="9"/>
    </row>
    <row r="26" spans="1:3" x14ac:dyDescent="0.25">
      <c r="A26" s="10"/>
    </row>
  </sheetData>
  <mergeCells count="2">
    <mergeCell ref="A2:B2"/>
    <mergeCell ref="A3:B3"/>
  </mergeCells>
  <pageMargins left="0.7" right="0.7" top="0.75" bottom="0.75" header="0.3" footer="0.3"/>
  <pageSetup paperSize="9" scale="5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65"/>
  <sheetViews>
    <sheetView tabSelected="1" zoomScale="110" zoomScaleNormal="110" workbookViewId="0">
      <pane xSplit="1" ySplit="1" topLeftCell="B2" activePane="bottomRight" state="frozen"/>
      <selection activeCell="B1" activeCellId="1" sqref="B3 B1:B1048576"/>
      <selection pane="topRight" activeCell="B1" activeCellId="1" sqref="B3 B1:B1048576"/>
      <selection pane="bottomLeft" activeCell="B1" activeCellId="1" sqref="B3 B1:B1048576"/>
      <selection pane="bottomRight" activeCell="C163" sqref="C163"/>
    </sheetView>
  </sheetViews>
  <sheetFormatPr baseColWidth="10" defaultColWidth="11.42578125" defaultRowHeight="15" x14ac:dyDescent="0.25"/>
  <cols>
    <col min="1" max="1" width="74.42578125" style="35" customWidth="1"/>
    <col min="2" max="7" width="18" style="19" customWidth="1"/>
    <col min="8" max="8" width="18" style="26" customWidth="1"/>
  </cols>
  <sheetData>
    <row r="1" spans="1:8" s="14" customFormat="1" x14ac:dyDescent="0.25">
      <c r="A1" s="34" t="s">
        <v>10</v>
      </c>
      <c r="B1" s="29">
        <v>44377</v>
      </c>
      <c r="C1" s="29">
        <v>44286</v>
      </c>
      <c r="D1" s="29">
        <v>44196</v>
      </c>
      <c r="E1" s="29">
        <v>44104</v>
      </c>
      <c r="F1" s="29">
        <v>44012</v>
      </c>
      <c r="G1" s="29">
        <v>43921</v>
      </c>
      <c r="H1" s="29">
        <v>43830</v>
      </c>
    </row>
    <row r="3" spans="1:8" x14ac:dyDescent="0.25">
      <c r="A3" s="36"/>
      <c r="B3" s="20"/>
      <c r="C3" s="20"/>
      <c r="D3" s="20"/>
      <c r="E3" s="20"/>
      <c r="F3" s="20"/>
      <c r="G3" s="20"/>
      <c r="H3" s="27"/>
    </row>
    <row r="4" spans="1:8" x14ac:dyDescent="0.25">
      <c r="A4" s="36" t="s">
        <v>3</v>
      </c>
      <c r="B4" s="84">
        <v>239</v>
      </c>
      <c r="C4" s="84">
        <v>117</v>
      </c>
      <c r="D4" s="84">
        <v>354</v>
      </c>
      <c r="E4" s="84">
        <v>249</v>
      </c>
      <c r="F4" s="84">
        <v>150</v>
      </c>
      <c r="G4" s="84">
        <v>69</v>
      </c>
      <c r="H4" s="84">
        <v>327</v>
      </c>
    </row>
    <row r="5" spans="1:8" x14ac:dyDescent="0.25">
      <c r="A5" s="37" t="s">
        <v>4</v>
      </c>
      <c r="B5" s="81">
        <v>5</v>
      </c>
      <c r="C5" s="81">
        <v>2</v>
      </c>
      <c r="D5" s="81">
        <v>11</v>
      </c>
      <c r="E5" s="81">
        <v>8</v>
      </c>
      <c r="F5" s="81">
        <v>6</v>
      </c>
      <c r="G5" s="81">
        <v>3</v>
      </c>
      <c r="H5" s="81">
        <v>14</v>
      </c>
    </row>
    <row r="6" spans="1:8" x14ac:dyDescent="0.25">
      <c r="A6" s="36" t="s">
        <v>5</v>
      </c>
      <c r="B6" s="84">
        <f>B4-B5</f>
        <v>234</v>
      </c>
      <c r="C6" s="84">
        <v>115</v>
      </c>
      <c r="D6" s="84">
        <f t="shared" ref="D6:H6" si="0">D4-D5</f>
        <v>343</v>
      </c>
      <c r="E6" s="84">
        <f t="shared" si="0"/>
        <v>241</v>
      </c>
      <c r="F6" s="84">
        <f t="shared" si="0"/>
        <v>144</v>
      </c>
      <c r="G6" s="84">
        <f t="shared" si="0"/>
        <v>66</v>
      </c>
      <c r="H6" s="84">
        <f t="shared" si="0"/>
        <v>313</v>
      </c>
    </row>
    <row r="7" spans="1:8" x14ac:dyDescent="0.25">
      <c r="A7" s="36"/>
      <c r="B7" s="84"/>
      <c r="C7" s="84"/>
      <c r="D7" s="86"/>
      <c r="E7" s="86"/>
      <c r="F7" s="86"/>
      <c r="G7" s="84"/>
      <c r="H7" s="84"/>
    </row>
    <row r="8" spans="1:8" x14ac:dyDescent="0.25">
      <c r="A8" s="36" t="s">
        <v>6</v>
      </c>
      <c r="B8" s="84">
        <v>4782</v>
      </c>
      <c r="C8" s="84">
        <v>4664</v>
      </c>
      <c r="D8" s="84">
        <v>4549</v>
      </c>
      <c r="E8" s="84">
        <v>4444</v>
      </c>
      <c r="F8" s="84">
        <v>4342</v>
      </c>
      <c r="G8" s="84">
        <v>4259</v>
      </c>
      <c r="H8" s="84">
        <v>4297</v>
      </c>
    </row>
    <row r="9" spans="1:8" x14ac:dyDescent="0.25">
      <c r="A9" s="37" t="s">
        <v>7</v>
      </c>
      <c r="B9" s="81">
        <v>226</v>
      </c>
      <c r="C9" s="81">
        <v>226</v>
      </c>
      <c r="D9" s="81">
        <v>226</v>
      </c>
      <c r="E9" s="81">
        <v>226</v>
      </c>
      <c r="F9" s="81">
        <v>226</v>
      </c>
      <c r="G9" s="81">
        <v>227</v>
      </c>
      <c r="H9" s="81">
        <v>227</v>
      </c>
    </row>
    <row r="10" spans="1:8" x14ac:dyDescent="0.25">
      <c r="A10" s="36" t="s">
        <v>8</v>
      </c>
      <c r="B10" s="84">
        <f t="shared" ref="B10" si="1">B8-B9</f>
        <v>4556</v>
      </c>
      <c r="C10" s="84">
        <v>4438</v>
      </c>
      <c r="D10" s="84">
        <f t="shared" ref="D10" si="2">D8-D9</f>
        <v>4323</v>
      </c>
      <c r="E10" s="84">
        <f t="shared" ref="E10" si="3">E8-E9</f>
        <v>4218</v>
      </c>
      <c r="F10" s="84">
        <f t="shared" ref="F10:H10" si="4">F8-F9</f>
        <v>4116</v>
      </c>
      <c r="G10" s="84">
        <f t="shared" si="4"/>
        <v>4032</v>
      </c>
      <c r="H10" s="84">
        <f t="shared" si="4"/>
        <v>4070</v>
      </c>
    </row>
    <row r="11" spans="1:8" x14ac:dyDescent="0.25">
      <c r="A11" s="36"/>
      <c r="B11" s="84"/>
      <c r="C11" s="84"/>
      <c r="D11" s="86"/>
      <c r="E11" s="86"/>
      <c r="F11" s="86"/>
      <c r="G11" s="84"/>
      <c r="H11" s="84"/>
    </row>
    <row r="12" spans="1:8" x14ac:dyDescent="0.25">
      <c r="A12" s="36" t="s">
        <v>11</v>
      </c>
      <c r="B12" s="84">
        <f>AVERAGE(B10:D10)</f>
        <v>4439</v>
      </c>
      <c r="C12" s="84">
        <v>4380.5</v>
      </c>
      <c r="D12" s="84">
        <f>(D10+F10+E10+G10+H10)/5</f>
        <v>4151.8</v>
      </c>
      <c r="E12" s="84">
        <f>(E10+G10+F10+H10)/4</f>
        <v>4109</v>
      </c>
      <c r="F12" s="84">
        <f>(F10+H10+G10)/3</f>
        <v>4072.6666666666665</v>
      </c>
      <c r="G12" s="84">
        <f>(G10+H10)/2</f>
        <v>4051</v>
      </c>
      <c r="H12" s="84">
        <v>3909</v>
      </c>
    </row>
    <row r="13" spans="1:8" x14ac:dyDescent="0.25">
      <c r="A13" s="36"/>
      <c r="B13" s="86"/>
      <c r="C13" s="86"/>
      <c r="D13" s="84"/>
      <c r="E13" s="86"/>
      <c r="F13" s="86"/>
      <c r="G13" s="86"/>
      <c r="H13" s="84"/>
    </row>
    <row r="14" spans="1:8" x14ac:dyDescent="0.25">
      <c r="A14" s="36" t="s">
        <v>13</v>
      </c>
      <c r="B14" s="84">
        <f>B6*2</f>
        <v>468</v>
      </c>
      <c r="C14" s="84">
        <v>460</v>
      </c>
      <c r="D14" s="84">
        <f>D6/4*4</f>
        <v>343</v>
      </c>
      <c r="E14" s="84">
        <f>E6/3*4</f>
        <v>321.33333333333331</v>
      </c>
      <c r="F14" s="84">
        <f>F6*2</f>
        <v>288</v>
      </c>
      <c r="G14" s="84">
        <f>G6*4</f>
        <v>264</v>
      </c>
      <c r="H14" s="84">
        <f>+H6</f>
        <v>313</v>
      </c>
    </row>
    <row r="15" spans="1:8" x14ac:dyDescent="0.25">
      <c r="A15" s="37" t="s">
        <v>12</v>
      </c>
      <c r="B15" s="81">
        <f>B12</f>
        <v>4439</v>
      </c>
      <c r="C15" s="81">
        <v>4380.5</v>
      </c>
      <c r="D15" s="81">
        <f t="shared" ref="D15" si="5">D12</f>
        <v>4151.8</v>
      </c>
      <c r="E15" s="81">
        <f t="shared" ref="E15" si="6">E12</f>
        <v>4109</v>
      </c>
      <c r="F15" s="81">
        <f t="shared" ref="F15:G15" si="7">F12</f>
        <v>4072.6666666666665</v>
      </c>
      <c r="G15" s="81">
        <f t="shared" si="7"/>
        <v>4051</v>
      </c>
      <c r="H15" s="81">
        <f t="shared" ref="H15" si="8">H12</f>
        <v>3909</v>
      </c>
    </row>
    <row r="16" spans="1:8" ht="15.75" thickBot="1" x14ac:dyDescent="0.3">
      <c r="A16" s="38" t="s">
        <v>9</v>
      </c>
      <c r="B16" s="18">
        <f>B14/B15+0.001</f>
        <v>0.10642915070961928</v>
      </c>
      <c r="C16" s="18">
        <v>0.10501084351101472</v>
      </c>
      <c r="D16" s="18">
        <f>D14/D15</f>
        <v>8.2614769497567311E-2</v>
      </c>
      <c r="E16" s="18">
        <f>E14/E15</f>
        <v>7.820232011032692E-2</v>
      </c>
      <c r="F16" s="18">
        <f>F14/F15</f>
        <v>7.0715338025863481E-2</v>
      </c>
      <c r="G16" s="18">
        <f t="shared" ref="G16:H16" si="9">G14/G15</f>
        <v>6.5169094050851639E-2</v>
      </c>
      <c r="H16" s="18">
        <f t="shared" si="9"/>
        <v>8.0071629572780759E-2</v>
      </c>
    </row>
    <row r="17" spans="1:11" s="50" customFormat="1" x14ac:dyDescent="0.25">
      <c r="A17" s="48"/>
      <c r="B17" s="51"/>
      <c r="C17" s="51"/>
      <c r="D17" s="51"/>
      <c r="E17" s="51"/>
      <c r="F17" s="51"/>
      <c r="G17" s="51"/>
      <c r="H17" s="49"/>
      <c r="I17"/>
      <c r="J17"/>
      <c r="K17"/>
    </row>
    <row r="19" spans="1:11" x14ac:dyDescent="0.25">
      <c r="A19" s="59" t="s">
        <v>56</v>
      </c>
      <c r="B19" s="84">
        <v>352</v>
      </c>
      <c r="C19" s="84">
        <v>171</v>
      </c>
      <c r="D19" s="84">
        <v>671</v>
      </c>
      <c r="E19" s="84">
        <f>335+166</f>
        <v>501</v>
      </c>
      <c r="F19" s="84">
        <f>177+158</f>
        <v>335</v>
      </c>
      <c r="G19" s="84">
        <v>177</v>
      </c>
      <c r="H19" s="84">
        <v>630</v>
      </c>
    </row>
    <row r="20" spans="1:11" x14ac:dyDescent="0.25">
      <c r="A20" s="59" t="s">
        <v>57</v>
      </c>
      <c r="B20" s="85">
        <f>+B19*2</f>
        <v>704</v>
      </c>
      <c r="C20" s="85">
        <v>684</v>
      </c>
      <c r="D20" s="85">
        <f>+D19</f>
        <v>671</v>
      </c>
      <c r="E20" s="85">
        <f>+E19/3*4</f>
        <v>668</v>
      </c>
      <c r="F20" s="85">
        <f>+F19*2</f>
        <v>670</v>
      </c>
      <c r="G20" s="85">
        <f>+G19*4</f>
        <v>708</v>
      </c>
      <c r="H20" s="85">
        <f>+H19</f>
        <v>630</v>
      </c>
    </row>
    <row r="21" spans="1:11" x14ac:dyDescent="0.25">
      <c r="B21" s="22"/>
      <c r="C21" s="22"/>
      <c r="D21" s="22"/>
      <c r="E21" s="22"/>
      <c r="F21" s="22"/>
      <c r="G21" s="22"/>
      <c r="H21" s="28"/>
    </row>
    <row r="22" spans="1:11" x14ac:dyDescent="0.25">
      <c r="A22" s="35" t="s">
        <v>59</v>
      </c>
      <c r="B22" s="84">
        <v>38202</v>
      </c>
      <c r="C22" s="84">
        <v>36797</v>
      </c>
      <c r="D22" s="84">
        <v>35767</v>
      </c>
      <c r="E22" s="84">
        <v>34871</v>
      </c>
      <c r="F22" s="84">
        <v>33816</v>
      </c>
      <c r="G22" s="84">
        <v>33303</v>
      </c>
      <c r="H22" s="84">
        <v>31917</v>
      </c>
    </row>
    <row r="23" spans="1:11" x14ac:dyDescent="0.25">
      <c r="A23" s="35" t="s">
        <v>58</v>
      </c>
      <c r="B23" s="84">
        <f>AVERAGE(B22:D22)</f>
        <v>36922</v>
      </c>
      <c r="C23" s="84">
        <v>36282</v>
      </c>
      <c r="D23" s="84">
        <f>AVERAGE(D22:H22)</f>
        <v>33934.800000000003</v>
      </c>
      <c r="E23" s="84">
        <f>AVERAGE(E22:H22)</f>
        <v>33476.75</v>
      </c>
      <c r="F23" s="84">
        <f>AVERAGE(F22:H22)</f>
        <v>33012</v>
      </c>
      <c r="G23" s="84">
        <f>AVERAGE(G22:H22)</f>
        <v>32610</v>
      </c>
      <c r="H23" s="85">
        <v>30314.6</v>
      </c>
    </row>
    <row r="24" spans="1:11" x14ac:dyDescent="0.25">
      <c r="D24" s="21"/>
      <c r="E24" s="21"/>
      <c r="F24" s="21"/>
    </row>
    <row r="25" spans="1:11" ht="15.75" thickBot="1" x14ac:dyDescent="0.3">
      <c r="A25" s="41" t="s">
        <v>34</v>
      </c>
      <c r="B25" s="24">
        <f>+B20/B23</f>
        <v>1.9067222793998157E-2</v>
      </c>
      <c r="C25" s="24">
        <v>1.8852323466181577E-2</v>
      </c>
      <c r="D25" s="24">
        <f t="shared" ref="D25:H25" si="10">+D20/D23</f>
        <v>1.9773212159788771E-2</v>
      </c>
      <c r="E25" s="24">
        <f t="shared" si="10"/>
        <v>1.995414728132211E-2</v>
      </c>
      <c r="F25" s="24">
        <f t="shared" si="10"/>
        <v>2.0295650066642433E-2</v>
      </c>
      <c r="G25" s="24">
        <f t="shared" si="10"/>
        <v>2.1711131554737809E-2</v>
      </c>
      <c r="H25" s="24">
        <f t="shared" si="10"/>
        <v>2.0782065407427445E-2</v>
      </c>
    </row>
    <row r="26" spans="1:11" x14ac:dyDescent="0.25">
      <c r="D26" s="21"/>
      <c r="E26" s="21"/>
      <c r="F26" s="21"/>
    </row>
    <row r="27" spans="1:11" x14ac:dyDescent="0.25">
      <c r="D27" s="21"/>
      <c r="E27" s="21"/>
      <c r="F27" s="21"/>
    </row>
    <row r="28" spans="1:11" x14ac:dyDescent="0.25">
      <c r="A28" s="35" t="s">
        <v>14</v>
      </c>
      <c r="B28" s="30">
        <v>143</v>
      </c>
      <c r="C28" s="30">
        <v>71</v>
      </c>
      <c r="D28" s="30">
        <v>292</v>
      </c>
      <c r="E28" s="30">
        <f>141+70</f>
        <v>211</v>
      </c>
      <c r="F28" s="30">
        <f>74+67</f>
        <v>141</v>
      </c>
      <c r="G28" s="30">
        <v>74</v>
      </c>
      <c r="H28" s="30">
        <v>284</v>
      </c>
    </row>
    <row r="29" spans="1:11" x14ac:dyDescent="0.25">
      <c r="B29" s="30"/>
      <c r="C29" s="30"/>
      <c r="D29" s="30"/>
      <c r="E29" s="30"/>
      <c r="F29" s="30"/>
      <c r="G29" s="30"/>
      <c r="H29" s="30"/>
      <c r="I29" s="77"/>
    </row>
    <row r="30" spans="1:11" x14ac:dyDescent="0.25">
      <c r="A30" s="35" t="s">
        <v>56</v>
      </c>
      <c r="B30" s="30">
        <v>352</v>
      </c>
      <c r="C30" s="30">
        <v>171</v>
      </c>
      <c r="D30" s="30">
        <v>671</v>
      </c>
      <c r="E30" s="30">
        <v>501</v>
      </c>
      <c r="F30" s="30">
        <v>335</v>
      </c>
      <c r="G30" s="30">
        <v>177</v>
      </c>
      <c r="H30" s="30">
        <v>630</v>
      </c>
      <c r="I30" s="77"/>
    </row>
    <row r="31" spans="1:11" x14ac:dyDescent="0.25">
      <c r="A31" s="40" t="s">
        <v>108</v>
      </c>
      <c r="B31" s="81">
        <v>84</v>
      </c>
      <c r="C31" s="81">
        <v>41</v>
      </c>
      <c r="D31" s="81">
        <v>163</v>
      </c>
      <c r="E31" s="81">
        <v>112</v>
      </c>
      <c r="F31" s="81">
        <v>63</v>
      </c>
      <c r="G31" s="81">
        <v>28</v>
      </c>
      <c r="H31" s="81">
        <v>126</v>
      </c>
      <c r="I31" s="77"/>
    </row>
    <row r="32" spans="1:11" x14ac:dyDescent="0.25">
      <c r="A32" s="80" t="s">
        <v>61</v>
      </c>
      <c r="B32" s="81">
        <f t="shared" ref="B32:H32" si="11">SUM(B30:B31)</f>
        <v>436</v>
      </c>
      <c r="C32" s="81">
        <f t="shared" si="11"/>
        <v>212</v>
      </c>
      <c r="D32" s="81">
        <f t="shared" si="11"/>
        <v>834</v>
      </c>
      <c r="E32" s="81">
        <f t="shared" si="11"/>
        <v>613</v>
      </c>
      <c r="F32" s="81">
        <f t="shared" si="11"/>
        <v>398</v>
      </c>
      <c r="G32" s="81">
        <f t="shared" si="11"/>
        <v>205</v>
      </c>
      <c r="H32" s="81">
        <f t="shared" si="11"/>
        <v>756</v>
      </c>
    </row>
    <row r="33" spans="1:11" s="3" customFormat="1" ht="15.75" thickBot="1" x14ac:dyDescent="0.3">
      <c r="A33" s="41" t="s">
        <v>15</v>
      </c>
      <c r="B33" s="33">
        <f t="shared" ref="B33" si="12">B28/B32</f>
        <v>0.32798165137614677</v>
      </c>
      <c r="C33" s="33">
        <v>0.33490566037735847</v>
      </c>
      <c r="D33" s="33">
        <f t="shared" ref="D33" si="13">D28/D32</f>
        <v>0.3501199040767386</v>
      </c>
      <c r="E33" s="33">
        <f t="shared" ref="E33" si="14">E28/E32</f>
        <v>0.3442088091353997</v>
      </c>
      <c r="F33" s="33">
        <f t="shared" ref="F33:H33" si="15">F28/F32</f>
        <v>0.35427135678391958</v>
      </c>
      <c r="G33" s="33">
        <f t="shared" si="15"/>
        <v>0.36097560975609755</v>
      </c>
      <c r="H33" s="33">
        <f t="shared" si="15"/>
        <v>0.37566137566137564</v>
      </c>
      <c r="J33"/>
      <c r="K33"/>
    </row>
    <row r="36" spans="1:11" x14ac:dyDescent="0.25">
      <c r="A36" s="35" t="s">
        <v>14</v>
      </c>
      <c r="B36" s="30">
        <f>+B28</f>
        <v>143</v>
      </c>
      <c r="C36" s="30">
        <v>71</v>
      </c>
      <c r="D36" s="30">
        <v>292</v>
      </c>
      <c r="E36" s="30">
        <f>141+70</f>
        <v>211</v>
      </c>
      <c r="F36" s="30">
        <f>74+67</f>
        <v>141</v>
      </c>
      <c r="G36" s="30">
        <v>74</v>
      </c>
      <c r="H36" s="30">
        <v>284</v>
      </c>
    </row>
    <row r="37" spans="1:11" x14ac:dyDescent="0.25">
      <c r="A37" s="35" t="s">
        <v>61</v>
      </c>
      <c r="B37" s="30">
        <f>+B32</f>
        <v>436</v>
      </c>
      <c r="C37" s="30">
        <v>212</v>
      </c>
      <c r="D37" s="30">
        <v>834</v>
      </c>
      <c r="E37" s="30">
        <v>613</v>
      </c>
      <c r="F37" s="30">
        <v>398</v>
      </c>
      <c r="G37" s="30">
        <v>205</v>
      </c>
      <c r="H37" s="30">
        <v>756</v>
      </c>
    </row>
    <row r="38" spans="1:11" x14ac:dyDescent="0.25">
      <c r="A38" s="40" t="s">
        <v>60</v>
      </c>
      <c r="B38" s="81">
        <v>35.6</v>
      </c>
      <c r="C38" s="81">
        <v>18.3</v>
      </c>
      <c r="D38" s="81">
        <v>64.599999999999994</v>
      </c>
      <c r="E38" s="81">
        <v>45.3</v>
      </c>
      <c r="F38" s="81">
        <v>29.4</v>
      </c>
      <c r="G38" s="81">
        <v>15.3</v>
      </c>
      <c r="H38" s="81">
        <v>51.9</v>
      </c>
    </row>
    <row r="39" spans="1:11" x14ac:dyDescent="0.25">
      <c r="A39" s="40" t="s">
        <v>65</v>
      </c>
      <c r="B39" s="12">
        <f>+B37+B38</f>
        <v>471.6</v>
      </c>
      <c r="C39" s="12">
        <v>230.3</v>
      </c>
      <c r="D39" s="12">
        <f t="shared" ref="D39:H39" si="16">+D37+D38</f>
        <v>898.6</v>
      </c>
      <c r="E39" s="12">
        <f t="shared" si="16"/>
        <v>658.3</v>
      </c>
      <c r="F39" s="12">
        <f t="shared" si="16"/>
        <v>427.4</v>
      </c>
      <c r="G39" s="12">
        <f t="shared" si="16"/>
        <v>220.3</v>
      </c>
      <c r="H39" s="12">
        <f t="shared" si="16"/>
        <v>807.9</v>
      </c>
    </row>
    <row r="40" spans="1:11" ht="30.75" thickBot="1" x14ac:dyDescent="0.3">
      <c r="A40" s="16" t="s">
        <v>62</v>
      </c>
      <c r="B40" s="33">
        <f t="shared" ref="B40" si="17">B36/B39</f>
        <v>0.30322307039864288</v>
      </c>
      <c r="C40" s="33">
        <v>0.30829353017802863</v>
      </c>
      <c r="D40" s="33">
        <f>D36/D39</f>
        <v>0.32494992210104606</v>
      </c>
      <c r="E40" s="33">
        <f t="shared" ref="E40" si="18">E36/E39</f>
        <v>0.32052255810420782</v>
      </c>
      <c r="F40" s="33">
        <f t="shared" ref="F40" si="19">F36/F39</f>
        <v>0.32990173139915774</v>
      </c>
      <c r="G40" s="33">
        <f t="shared" ref="G40" si="20">G36/G39</f>
        <v>0.33590558329550613</v>
      </c>
      <c r="H40" s="33">
        <f t="shared" ref="H40" si="21">H36/H39</f>
        <v>0.35152865453645255</v>
      </c>
    </row>
    <row r="43" spans="1:11" x14ac:dyDescent="0.25">
      <c r="A43" s="35" t="s">
        <v>16</v>
      </c>
      <c r="B43" s="30">
        <v>19140</v>
      </c>
      <c r="C43" s="30">
        <v>18122</v>
      </c>
      <c r="D43" s="30">
        <v>17627</v>
      </c>
      <c r="E43" s="30">
        <v>17334</v>
      </c>
      <c r="F43" s="30">
        <v>16810</v>
      </c>
      <c r="G43" s="30">
        <v>15953</v>
      </c>
      <c r="H43" s="30">
        <v>15360</v>
      </c>
    </row>
    <row r="44" spans="1:11" x14ac:dyDescent="0.25">
      <c r="A44" s="40" t="s">
        <v>64</v>
      </c>
      <c r="B44" s="81">
        <v>30728</v>
      </c>
      <c r="C44" s="81">
        <v>29351</v>
      </c>
      <c r="D44" s="81">
        <v>28069</v>
      </c>
      <c r="E44" s="81">
        <v>27360</v>
      </c>
      <c r="F44" s="81">
        <v>26218</v>
      </c>
      <c r="G44" s="81">
        <v>25612</v>
      </c>
      <c r="H44" s="81">
        <v>25503</v>
      </c>
    </row>
    <row r="45" spans="1:11" ht="15.75" thickBot="1" x14ac:dyDescent="0.3">
      <c r="A45" s="43" t="s">
        <v>63</v>
      </c>
      <c r="B45" s="33">
        <f>B43/B44</f>
        <v>0.62288466545170529</v>
      </c>
      <c r="C45" s="33">
        <v>0.61742359715171546</v>
      </c>
      <c r="D45" s="33">
        <f>D43/D44</f>
        <v>0.62798817200470269</v>
      </c>
      <c r="E45" s="33">
        <f>E43/E44</f>
        <v>0.63355263157894737</v>
      </c>
      <c r="F45" s="33">
        <f>F43/F44-0.001</f>
        <v>0.64016256007323213</v>
      </c>
      <c r="G45" s="33">
        <f>G43/G44-0.001</f>
        <v>0.62187209120724662</v>
      </c>
      <c r="H45" s="33">
        <f>H43/H44-0.001</f>
        <v>0.60128208446065168</v>
      </c>
      <c r="I45" s="78"/>
    </row>
    <row r="48" spans="1:11" x14ac:dyDescent="0.25">
      <c r="A48" s="44" t="s">
        <v>68</v>
      </c>
      <c r="B48" s="85">
        <v>30843</v>
      </c>
      <c r="C48" s="85">
        <v>29474</v>
      </c>
      <c r="D48" s="85">
        <v>28222</v>
      </c>
      <c r="E48" s="85">
        <v>27519</v>
      </c>
      <c r="F48" s="85">
        <v>26406</v>
      </c>
      <c r="G48" s="85">
        <v>25792</v>
      </c>
      <c r="H48" s="85">
        <v>25642</v>
      </c>
    </row>
    <row r="49" spans="1:8" x14ac:dyDescent="0.25">
      <c r="A49" s="45" t="s">
        <v>69</v>
      </c>
      <c r="B49" s="83">
        <f>+F48</f>
        <v>26406</v>
      </c>
      <c r="C49" s="83">
        <v>25792</v>
      </c>
      <c r="D49" s="83">
        <v>25642</v>
      </c>
      <c r="E49" s="83">
        <v>25443</v>
      </c>
      <c r="F49" s="83">
        <v>23292</v>
      </c>
      <c r="G49" s="83">
        <v>22318</v>
      </c>
      <c r="H49" s="83">
        <v>22294</v>
      </c>
    </row>
    <row r="50" spans="1:8" x14ac:dyDescent="0.25">
      <c r="A50" s="44" t="s">
        <v>66</v>
      </c>
      <c r="B50" s="30">
        <f>B48-B49</f>
        <v>4437</v>
      </c>
      <c r="C50" s="30">
        <v>3682</v>
      </c>
      <c r="D50" s="30">
        <f t="shared" ref="D50:H50" si="22">D48-D49</f>
        <v>2580</v>
      </c>
      <c r="E50" s="30">
        <f t="shared" si="22"/>
        <v>2076</v>
      </c>
      <c r="F50" s="30">
        <f t="shared" si="22"/>
        <v>3114</v>
      </c>
      <c r="G50" s="30">
        <f t="shared" si="22"/>
        <v>3474</v>
      </c>
      <c r="H50" s="30">
        <f t="shared" si="22"/>
        <v>3348</v>
      </c>
    </row>
    <row r="51" spans="1:8" x14ac:dyDescent="0.25">
      <c r="A51" s="44"/>
      <c r="D51" s="26"/>
    </row>
    <row r="52" spans="1:8" ht="15.75" thickBot="1" x14ac:dyDescent="0.3">
      <c r="A52" s="41" t="s">
        <v>67</v>
      </c>
      <c r="B52" s="33">
        <f>B50/B49</f>
        <v>0.16802999318336742</v>
      </c>
      <c r="C52" s="33">
        <v>0.14275744416873448</v>
      </c>
      <c r="D52" s="33">
        <f t="shared" ref="D52:G52" si="23">D50/D49</f>
        <v>0.10061617658528976</v>
      </c>
      <c r="E52" s="33">
        <f t="shared" si="23"/>
        <v>8.1594151633062134E-2</v>
      </c>
      <c r="F52" s="33">
        <f t="shared" si="23"/>
        <v>0.13369397217928902</v>
      </c>
      <c r="G52" s="33">
        <f t="shared" si="23"/>
        <v>0.15565910923917914</v>
      </c>
      <c r="H52" s="33">
        <f>H50/H49</f>
        <v>0.15017493496007894</v>
      </c>
    </row>
    <row r="54" spans="1:8" x14ac:dyDescent="0.25">
      <c r="B54" s="76"/>
    </row>
    <row r="55" spans="1:8" x14ac:dyDescent="0.25">
      <c r="A55" s="44" t="s">
        <v>24</v>
      </c>
      <c r="B55" s="85">
        <f>+B43</f>
        <v>19140</v>
      </c>
      <c r="C55" s="85">
        <v>18122</v>
      </c>
      <c r="D55" s="85">
        <f>+D43</f>
        <v>17627</v>
      </c>
      <c r="E55" s="85">
        <f>+E43</f>
        <v>17334</v>
      </c>
      <c r="F55" s="85">
        <f t="shared" ref="F55:H55" si="24">+F43</f>
        <v>16810</v>
      </c>
      <c r="G55" s="85">
        <f>+G43</f>
        <v>15953</v>
      </c>
      <c r="H55" s="85">
        <f t="shared" si="24"/>
        <v>15360</v>
      </c>
    </row>
    <row r="56" spans="1:8" x14ac:dyDescent="0.25">
      <c r="A56" s="45" t="s">
        <v>30</v>
      </c>
      <c r="B56" s="83">
        <f>+F55</f>
        <v>16810</v>
      </c>
      <c r="C56" s="83">
        <v>15953</v>
      </c>
      <c r="D56" s="83">
        <f>H55</f>
        <v>15360</v>
      </c>
      <c r="E56" s="83">
        <v>15452</v>
      </c>
      <c r="F56" s="83">
        <v>15468</v>
      </c>
      <c r="G56" s="83">
        <v>15106</v>
      </c>
      <c r="H56" s="81">
        <v>14909</v>
      </c>
    </row>
    <row r="57" spans="1:8" x14ac:dyDescent="0.25">
      <c r="A57" s="44" t="s">
        <v>25</v>
      </c>
      <c r="B57" s="30">
        <f>B55-B56</f>
        <v>2330</v>
      </c>
      <c r="C57" s="30">
        <v>2169</v>
      </c>
      <c r="D57" s="30">
        <f t="shared" ref="D57:H57" si="25">D55-D56</f>
        <v>2267</v>
      </c>
      <c r="E57" s="30">
        <f t="shared" si="25"/>
        <v>1882</v>
      </c>
      <c r="F57" s="30">
        <f t="shared" si="25"/>
        <v>1342</v>
      </c>
      <c r="G57" s="30">
        <f t="shared" si="25"/>
        <v>847</v>
      </c>
      <c r="H57" s="30">
        <f t="shared" si="25"/>
        <v>451</v>
      </c>
    </row>
    <row r="58" spans="1:8" x14ac:dyDescent="0.25">
      <c r="A58" s="44"/>
      <c r="D58" s="26"/>
    </row>
    <row r="59" spans="1:8" ht="15.75" thickBot="1" x14ac:dyDescent="0.3">
      <c r="A59" s="41" t="s">
        <v>26</v>
      </c>
      <c r="B59" s="33">
        <f>B57/B56</f>
        <v>0.13860797144556811</v>
      </c>
      <c r="C59" s="33">
        <v>0.13596188804613552</v>
      </c>
      <c r="D59" s="33">
        <f t="shared" ref="D59:H59" si="26">D57/D56</f>
        <v>0.14759114583333333</v>
      </c>
      <c r="E59" s="33">
        <f t="shared" si="26"/>
        <v>0.12179653119337303</v>
      </c>
      <c r="F59" s="33">
        <f t="shared" si="26"/>
        <v>8.6759762089475043E-2</v>
      </c>
      <c r="G59" s="33">
        <f t="shared" si="26"/>
        <v>5.6070435588507876E-2</v>
      </c>
      <c r="H59" s="33">
        <f t="shared" si="26"/>
        <v>3.0250184452344221E-2</v>
      </c>
    </row>
    <row r="62" spans="1:8" x14ac:dyDescent="0.25">
      <c r="A62" s="35" t="s">
        <v>59</v>
      </c>
      <c r="B62" s="85">
        <f>+B22</f>
        <v>38202</v>
      </c>
      <c r="C62" s="85">
        <v>36797</v>
      </c>
      <c r="D62" s="85">
        <v>35767</v>
      </c>
      <c r="E62" s="85">
        <v>34871</v>
      </c>
      <c r="F62" s="85">
        <v>33816</v>
      </c>
      <c r="G62" s="85">
        <v>33303</v>
      </c>
      <c r="H62" s="85">
        <v>31917</v>
      </c>
    </row>
    <row r="63" spans="1:8" ht="15.75" thickBot="1" x14ac:dyDescent="0.3">
      <c r="A63" s="41" t="s">
        <v>70</v>
      </c>
      <c r="B63" s="60">
        <f>AVERAGE(B62:D62)</f>
        <v>36922</v>
      </c>
      <c r="C63" s="60">
        <f>AVERAGE(C62:D62)</f>
        <v>36282</v>
      </c>
      <c r="D63" s="60">
        <f>AVERAGE(D62:H62)</f>
        <v>33934.800000000003</v>
      </c>
      <c r="E63" s="60">
        <f>AVERAGE(E62:H62)</f>
        <v>33476.75</v>
      </c>
      <c r="F63" s="60">
        <f>AVERAGE(F62:H62)</f>
        <v>33012</v>
      </c>
      <c r="G63" s="60">
        <f>AVERAGE(G62:H62)</f>
        <v>32610</v>
      </c>
      <c r="H63" s="60">
        <v>30315</v>
      </c>
    </row>
    <row r="65" spans="1:8" x14ac:dyDescent="0.25">
      <c r="B65" s="76"/>
    </row>
    <row r="66" spans="1:8" x14ac:dyDescent="0.25">
      <c r="A66" s="35" t="s">
        <v>74</v>
      </c>
      <c r="B66" s="30">
        <f>+B48</f>
        <v>30843</v>
      </c>
      <c r="C66" s="30">
        <v>29474</v>
      </c>
      <c r="D66" s="30">
        <v>28222</v>
      </c>
      <c r="E66" s="30">
        <v>27519</v>
      </c>
      <c r="F66" s="30">
        <v>26406</v>
      </c>
      <c r="G66" s="30">
        <v>25792</v>
      </c>
      <c r="H66" s="30">
        <v>25600</v>
      </c>
    </row>
    <row r="67" spans="1:8" x14ac:dyDescent="0.25">
      <c r="A67" s="35" t="s">
        <v>72</v>
      </c>
      <c r="B67" s="30">
        <v>14970</v>
      </c>
      <c r="C67" s="30">
        <v>14802</v>
      </c>
      <c r="D67" s="30">
        <v>14489</v>
      </c>
      <c r="E67" s="30">
        <v>14116</v>
      </c>
      <c r="F67" s="30">
        <v>13764</v>
      </c>
      <c r="G67" s="30">
        <v>13873</v>
      </c>
      <c r="H67" s="30">
        <v>12892</v>
      </c>
    </row>
    <row r="68" spans="1:8" x14ac:dyDescent="0.25">
      <c r="A68" s="35" t="s">
        <v>73</v>
      </c>
      <c r="B68" s="30">
        <v>3629</v>
      </c>
      <c r="C68" s="30">
        <v>3926</v>
      </c>
      <c r="D68" s="30">
        <v>4008</v>
      </c>
      <c r="E68" s="30">
        <v>4123</v>
      </c>
      <c r="F68" s="30">
        <v>4226</v>
      </c>
      <c r="G68" s="30">
        <v>4058</v>
      </c>
      <c r="H68" s="30">
        <v>4086</v>
      </c>
    </row>
    <row r="69" spans="1:8" ht="15.75" thickBot="1" x14ac:dyDescent="0.3">
      <c r="A69" s="41" t="s">
        <v>50</v>
      </c>
      <c r="B69" s="60">
        <f t="shared" ref="B69:H69" si="27">SUM(B66:B68)</f>
        <v>49442</v>
      </c>
      <c r="C69" s="60">
        <v>48202</v>
      </c>
      <c r="D69" s="60">
        <f t="shared" si="27"/>
        <v>46719</v>
      </c>
      <c r="E69" s="60">
        <f t="shared" si="27"/>
        <v>45758</v>
      </c>
      <c r="F69" s="60">
        <f t="shared" si="27"/>
        <v>44396</v>
      </c>
      <c r="G69" s="60">
        <f t="shared" si="27"/>
        <v>43723</v>
      </c>
      <c r="H69" s="60">
        <f t="shared" si="27"/>
        <v>42578</v>
      </c>
    </row>
    <row r="72" spans="1:8" ht="30" x14ac:dyDescent="0.25">
      <c r="A72" s="11" t="s">
        <v>18</v>
      </c>
      <c r="B72" s="85">
        <f t="shared" ref="B72:H72" si="28">+B69</f>
        <v>49442</v>
      </c>
      <c r="C72" s="85">
        <v>48202</v>
      </c>
      <c r="D72" s="85">
        <f t="shared" si="28"/>
        <v>46719</v>
      </c>
      <c r="E72" s="85">
        <f t="shared" si="28"/>
        <v>45758</v>
      </c>
      <c r="F72" s="85">
        <f t="shared" si="28"/>
        <v>44396</v>
      </c>
      <c r="G72" s="85">
        <f t="shared" si="28"/>
        <v>43723</v>
      </c>
      <c r="H72" s="85">
        <f t="shared" si="28"/>
        <v>42578</v>
      </c>
    </row>
    <row r="73" spans="1:8" ht="30" x14ac:dyDescent="0.25">
      <c r="A73" s="13" t="s">
        <v>28</v>
      </c>
      <c r="B73" s="83">
        <f>+F72</f>
        <v>44396</v>
      </c>
      <c r="C73" s="83">
        <v>43723</v>
      </c>
      <c r="D73" s="83">
        <f>H72</f>
        <v>42578</v>
      </c>
      <c r="E73" s="83">
        <v>42323</v>
      </c>
      <c r="F73" s="83">
        <v>39860</v>
      </c>
      <c r="G73" s="83">
        <v>38508</v>
      </c>
      <c r="H73" s="83">
        <v>38851</v>
      </c>
    </row>
    <row r="74" spans="1:8" x14ac:dyDescent="0.25">
      <c r="A74" s="35" t="s">
        <v>19</v>
      </c>
      <c r="B74" s="85">
        <f t="shared" ref="B74" si="29">B72-B73</f>
        <v>5046</v>
      </c>
      <c r="C74" s="85">
        <v>4479</v>
      </c>
      <c r="D74" s="85">
        <f t="shared" ref="D74:H74" si="30">D72-D73</f>
        <v>4141</v>
      </c>
      <c r="E74" s="85">
        <f t="shared" si="30"/>
        <v>3435</v>
      </c>
      <c r="F74" s="85">
        <f t="shared" si="30"/>
        <v>4536</v>
      </c>
      <c r="G74" s="85">
        <f t="shared" si="30"/>
        <v>5215</v>
      </c>
      <c r="H74" s="85">
        <f t="shared" si="30"/>
        <v>3727</v>
      </c>
    </row>
    <row r="75" spans="1:8" ht="30" x14ac:dyDescent="0.25">
      <c r="A75" s="13" t="s">
        <v>29</v>
      </c>
      <c r="B75" s="83">
        <f>B73</f>
        <v>44396</v>
      </c>
      <c r="C75" s="83">
        <v>43723</v>
      </c>
      <c r="D75" s="83">
        <f t="shared" ref="D75:H75" si="31">D73</f>
        <v>42578</v>
      </c>
      <c r="E75" s="83">
        <f t="shared" si="31"/>
        <v>42323</v>
      </c>
      <c r="F75" s="83">
        <f t="shared" si="31"/>
        <v>39860</v>
      </c>
      <c r="G75" s="83">
        <f t="shared" si="31"/>
        <v>38508</v>
      </c>
      <c r="H75" s="83">
        <f t="shared" si="31"/>
        <v>38851</v>
      </c>
    </row>
    <row r="76" spans="1:8" ht="15.75" thickBot="1" x14ac:dyDescent="0.3">
      <c r="A76" s="42" t="s">
        <v>51</v>
      </c>
      <c r="B76" s="23">
        <f>B74/B75</f>
        <v>0.11365888818812506</v>
      </c>
      <c r="C76" s="23">
        <v>0.10244036319557212</v>
      </c>
      <c r="D76" s="23">
        <f t="shared" ref="D76:G76" si="32">D74/D75</f>
        <v>9.7256799286016257E-2</v>
      </c>
      <c r="E76" s="23">
        <f t="shared" si="32"/>
        <v>8.1161543368853811E-2</v>
      </c>
      <c r="F76" s="23">
        <f t="shared" si="32"/>
        <v>0.11379829402910185</v>
      </c>
      <c r="G76" s="23">
        <f t="shared" si="32"/>
        <v>0.13542640490287733</v>
      </c>
      <c r="H76" s="23">
        <f>H74/H75+0.001</f>
        <v>9.693060667679082E-2</v>
      </c>
    </row>
    <row r="77" spans="1:8" x14ac:dyDescent="0.25">
      <c r="B77" s="22"/>
      <c r="C77" s="22"/>
      <c r="G77" s="22"/>
      <c r="H77" s="28"/>
    </row>
    <row r="79" spans="1:8" ht="30" x14ac:dyDescent="0.25">
      <c r="A79" s="11" t="s">
        <v>18</v>
      </c>
      <c r="B79" s="85">
        <f>+B72</f>
        <v>49442</v>
      </c>
      <c r="C79" s="85">
        <v>48202</v>
      </c>
      <c r="D79" s="85">
        <f>+D72</f>
        <v>46719</v>
      </c>
      <c r="E79" s="85">
        <f t="shared" ref="E79:H79" si="33">+E72</f>
        <v>45758</v>
      </c>
      <c r="F79" s="85">
        <f t="shared" si="33"/>
        <v>44396</v>
      </c>
      <c r="G79" s="85">
        <f t="shared" si="33"/>
        <v>43723</v>
      </c>
      <c r="H79" s="85">
        <f t="shared" si="33"/>
        <v>42578</v>
      </c>
    </row>
    <row r="80" spans="1:8" x14ac:dyDescent="0.25">
      <c r="A80" s="13" t="s">
        <v>76</v>
      </c>
      <c r="B80" s="83">
        <f>+B55</f>
        <v>19140</v>
      </c>
      <c r="C80" s="83">
        <v>18122</v>
      </c>
      <c r="D80" s="83">
        <f t="shared" ref="D80:H80" si="34">+D55</f>
        <v>17627</v>
      </c>
      <c r="E80" s="83">
        <f t="shared" si="34"/>
        <v>17334</v>
      </c>
      <c r="F80" s="83">
        <f t="shared" si="34"/>
        <v>16810</v>
      </c>
      <c r="G80" s="83">
        <f t="shared" si="34"/>
        <v>15953</v>
      </c>
      <c r="H80" s="83">
        <f t="shared" si="34"/>
        <v>15360</v>
      </c>
    </row>
    <row r="81" spans="1:8" ht="30.75" thickBot="1" x14ac:dyDescent="0.3">
      <c r="A81" s="17" t="s">
        <v>75</v>
      </c>
      <c r="B81" s="23">
        <f>+B80/B79+0.001</f>
        <v>0.38812026212531858</v>
      </c>
      <c r="C81" s="23">
        <v>0.3769595037550309</v>
      </c>
      <c r="D81" s="23">
        <f>+D80/D79</f>
        <v>0.37729831546051928</v>
      </c>
      <c r="E81" s="23">
        <f>+E80/E79</f>
        <v>0.37881900432711219</v>
      </c>
      <c r="F81" s="23">
        <f>+F80/F79</f>
        <v>0.37863771510946931</v>
      </c>
      <c r="G81" s="23">
        <f>+G80/G79</f>
        <v>0.36486517393591472</v>
      </c>
      <c r="H81" s="23">
        <f>+H80/H79-0.001</f>
        <v>0.35974968293484899</v>
      </c>
    </row>
    <row r="84" spans="1:8" x14ac:dyDescent="0.25">
      <c r="A84" s="35" t="s">
        <v>78</v>
      </c>
      <c r="B84" s="30">
        <v>-21</v>
      </c>
      <c r="C84" s="30">
        <v>-12</v>
      </c>
      <c r="D84" s="30">
        <v>75</v>
      </c>
      <c r="E84" s="30">
        <f>+F84+14</f>
        <v>75</v>
      </c>
      <c r="F84" s="30">
        <f>42+19</f>
        <v>61</v>
      </c>
      <c r="G84" s="30">
        <v>42</v>
      </c>
      <c r="H84" s="30">
        <v>37</v>
      </c>
    </row>
    <row r="85" spans="1:8" x14ac:dyDescent="0.25">
      <c r="A85" s="39"/>
      <c r="B85" s="30"/>
      <c r="C85" s="30"/>
      <c r="D85" s="30"/>
      <c r="E85" s="31"/>
      <c r="F85" s="31"/>
      <c r="G85" s="30"/>
      <c r="H85" s="30"/>
    </row>
    <row r="86" spans="1:8" x14ac:dyDescent="0.25">
      <c r="A86" s="35" t="s">
        <v>23</v>
      </c>
      <c r="B86" s="30">
        <f>B84*2</f>
        <v>-42</v>
      </c>
      <c r="C86" s="30">
        <v>-48</v>
      </c>
      <c r="D86" s="30">
        <f>D84/4*4</f>
        <v>75</v>
      </c>
      <c r="E86" s="30">
        <f>E84/3*4</f>
        <v>100</v>
      </c>
      <c r="F86" s="30">
        <f>F84/2*4</f>
        <v>122</v>
      </c>
      <c r="G86" s="30">
        <f>G84*4</f>
        <v>168</v>
      </c>
      <c r="H86" s="30">
        <f>H84/4*4</f>
        <v>37</v>
      </c>
    </row>
    <row r="87" spans="1:8" x14ac:dyDescent="0.25">
      <c r="A87" s="13" t="s">
        <v>83</v>
      </c>
      <c r="B87" s="84">
        <f>AVERAGE(B66:D66)</f>
        <v>29513</v>
      </c>
      <c r="C87" s="81">
        <v>28848</v>
      </c>
      <c r="D87" s="81">
        <f>(D66+F66+E66+G66+H66)/5</f>
        <v>26707.8</v>
      </c>
      <c r="E87" s="81">
        <f>(E66+G66+F66+H66)/4</f>
        <v>26329.25</v>
      </c>
      <c r="F87" s="81">
        <f>(F66+H66+G66)/3</f>
        <v>25932.666666666668</v>
      </c>
      <c r="G87" s="81">
        <f>(G66+H66)/2</f>
        <v>25696</v>
      </c>
      <c r="H87" s="81">
        <v>23798</v>
      </c>
    </row>
    <row r="88" spans="1:8" ht="15.75" thickBot="1" x14ac:dyDescent="0.3">
      <c r="A88" s="42" t="s">
        <v>22</v>
      </c>
      <c r="B88" s="25">
        <f t="shared" ref="B88" si="35">B86/B87</f>
        <v>-1.4231016840036595E-3</v>
      </c>
      <c r="C88" s="25">
        <v>-1.6638935108153079E-3</v>
      </c>
      <c r="D88" s="25">
        <f>D86/D87</f>
        <v>2.8081684002426257E-3</v>
      </c>
      <c r="E88" s="25">
        <f t="shared" ref="E88:G88" si="36">E86/E87</f>
        <v>3.7980572936942756E-3</v>
      </c>
      <c r="F88" s="25">
        <f t="shared" si="36"/>
        <v>4.7044911180235995E-3</v>
      </c>
      <c r="G88" s="25">
        <f t="shared" si="36"/>
        <v>6.5379825653798258E-3</v>
      </c>
      <c r="H88" s="25">
        <f>H86/H87</f>
        <v>1.5547525002101016E-3</v>
      </c>
    </row>
    <row r="91" spans="1:8" x14ac:dyDescent="0.25">
      <c r="A91" s="35" t="s">
        <v>81</v>
      </c>
      <c r="B91" s="30">
        <v>113</v>
      </c>
      <c r="C91" s="30">
        <v>130</v>
      </c>
      <c r="D91" s="30">
        <v>125</v>
      </c>
      <c r="E91" s="82">
        <v>111</v>
      </c>
      <c r="F91" s="30">
        <v>125</v>
      </c>
      <c r="G91" s="30">
        <v>114</v>
      </c>
      <c r="H91" s="30">
        <v>134</v>
      </c>
    </row>
    <row r="92" spans="1:8" x14ac:dyDescent="0.25">
      <c r="A92" s="13" t="s">
        <v>82</v>
      </c>
      <c r="B92" s="83">
        <v>29</v>
      </c>
      <c r="C92" s="83">
        <v>29</v>
      </c>
      <c r="D92" s="83">
        <v>109</v>
      </c>
      <c r="E92" s="83">
        <v>109</v>
      </c>
      <c r="F92" s="83">
        <v>109</v>
      </c>
      <c r="G92" s="83">
        <v>109</v>
      </c>
      <c r="H92" s="83">
        <v>109</v>
      </c>
    </row>
    <row r="93" spans="1:8" x14ac:dyDescent="0.25">
      <c r="A93" s="35" t="s">
        <v>80</v>
      </c>
      <c r="B93" s="30">
        <f t="shared" ref="B93:H93" si="37">+B91+B92</f>
        <v>142</v>
      </c>
      <c r="C93" s="30">
        <f t="shared" si="37"/>
        <v>159</v>
      </c>
      <c r="D93" s="30">
        <f t="shared" si="37"/>
        <v>234</v>
      </c>
      <c r="E93" s="30">
        <f t="shared" si="37"/>
        <v>220</v>
      </c>
      <c r="F93" s="30">
        <f t="shared" si="37"/>
        <v>234</v>
      </c>
      <c r="G93" s="30">
        <f t="shared" si="37"/>
        <v>223</v>
      </c>
      <c r="H93" s="30">
        <f t="shared" si="37"/>
        <v>243</v>
      </c>
    </row>
    <row r="94" spans="1:8" x14ac:dyDescent="0.25">
      <c r="A94" s="40" t="s">
        <v>17</v>
      </c>
      <c r="B94" s="81">
        <f t="shared" ref="B94:H94" si="38">+B48</f>
        <v>30843</v>
      </c>
      <c r="C94" s="81">
        <v>29474</v>
      </c>
      <c r="D94" s="81">
        <f t="shared" si="38"/>
        <v>28222</v>
      </c>
      <c r="E94" s="81">
        <f t="shared" si="38"/>
        <v>27519</v>
      </c>
      <c r="F94" s="81">
        <f t="shared" si="38"/>
        <v>26406</v>
      </c>
      <c r="G94" s="81">
        <f t="shared" si="38"/>
        <v>25792</v>
      </c>
      <c r="H94" s="81">
        <f t="shared" si="38"/>
        <v>25642</v>
      </c>
    </row>
    <row r="95" spans="1:8" ht="30.75" thickBot="1" x14ac:dyDescent="0.3">
      <c r="A95" s="16" t="s">
        <v>20</v>
      </c>
      <c r="B95" s="24">
        <f t="shared" ref="B95:H95" si="39">B93/B94</f>
        <v>4.6039620011023574E-3</v>
      </c>
      <c r="C95" s="24">
        <f t="shared" si="39"/>
        <v>5.3945850580172355E-3</v>
      </c>
      <c r="D95" s="24">
        <f t="shared" si="39"/>
        <v>8.2914038693218065E-3</v>
      </c>
      <c r="E95" s="24">
        <f t="shared" si="39"/>
        <v>7.9944765434790503E-3</v>
      </c>
      <c r="F95" s="24">
        <f t="shared" si="39"/>
        <v>8.8616223585548746E-3</v>
      </c>
      <c r="G95" s="24">
        <f t="shared" si="39"/>
        <v>8.6460918114143921E-3</v>
      </c>
      <c r="H95" s="24">
        <f t="shared" si="39"/>
        <v>9.4766398876842683E-3</v>
      </c>
    </row>
    <row r="98" spans="1:21" x14ac:dyDescent="0.25">
      <c r="A98" s="35" t="s">
        <v>78</v>
      </c>
      <c r="B98" s="30">
        <f t="shared" ref="B98:H98" si="40">+B84</f>
        <v>-21</v>
      </c>
      <c r="C98" s="30">
        <v>-12</v>
      </c>
      <c r="D98" s="30">
        <f t="shared" si="40"/>
        <v>75</v>
      </c>
      <c r="E98" s="30">
        <f t="shared" si="40"/>
        <v>75</v>
      </c>
      <c r="F98" s="30">
        <f t="shared" si="40"/>
        <v>61</v>
      </c>
      <c r="G98" s="30">
        <f t="shared" si="40"/>
        <v>42</v>
      </c>
      <c r="H98" s="30">
        <f t="shared" si="40"/>
        <v>37</v>
      </c>
    </row>
    <row r="99" spans="1:21" s="15" customFormat="1" x14ac:dyDescent="0.25">
      <c r="A99" s="39"/>
      <c r="B99" s="30"/>
      <c r="C99" s="30"/>
      <c r="D99" s="30"/>
      <c r="E99" s="31"/>
      <c r="F99" s="31"/>
      <c r="G99" s="30"/>
      <c r="H99" s="30"/>
      <c r="J99"/>
      <c r="K99"/>
    </row>
    <row r="100" spans="1:21" x14ac:dyDescent="0.25">
      <c r="A100" s="35" t="s">
        <v>23</v>
      </c>
      <c r="B100" s="30">
        <f>B98*2</f>
        <v>-42</v>
      </c>
      <c r="C100" s="30">
        <v>-48</v>
      </c>
      <c r="D100" s="30">
        <f>D98/4*4</f>
        <v>75</v>
      </c>
      <c r="E100" s="30">
        <f>E98/3*4</f>
        <v>100</v>
      </c>
      <c r="F100" s="30">
        <f>F98/2*4</f>
        <v>122</v>
      </c>
      <c r="G100" s="30">
        <f>G98*4</f>
        <v>168</v>
      </c>
      <c r="H100" s="30">
        <f>H98/4*4</f>
        <v>37</v>
      </c>
    </row>
    <row r="101" spans="1:21" x14ac:dyDescent="0.25">
      <c r="A101" s="13" t="s">
        <v>21</v>
      </c>
      <c r="B101" s="84">
        <f>AVERAGE(B79:D79)</f>
        <v>48121</v>
      </c>
      <c r="C101" s="81">
        <v>47460.5</v>
      </c>
      <c r="D101" s="81">
        <f>(D72+F72+E72+G72+H72)/5</f>
        <v>44634.8</v>
      </c>
      <c r="E101" s="81">
        <f>(E72+G72+F72+H72)/4</f>
        <v>44113.75</v>
      </c>
      <c r="F101" s="81">
        <f>(F72+H72+G72)/3</f>
        <v>43565.666666666664</v>
      </c>
      <c r="G101" s="81">
        <f>(G72+H72)/2</f>
        <v>43150.5</v>
      </c>
      <c r="H101" s="81">
        <v>40432</v>
      </c>
    </row>
    <row r="102" spans="1:21" s="3" customFormat="1" ht="30.75" thickBot="1" x14ac:dyDescent="0.3">
      <c r="A102" s="17" t="s">
        <v>84</v>
      </c>
      <c r="B102" s="25">
        <f t="shared" ref="B102:C102" si="41">B100/B101</f>
        <v>-8.7279981712765737E-4</v>
      </c>
      <c r="C102" s="25">
        <f t="shared" si="41"/>
        <v>-1.0113673475837801E-3</v>
      </c>
      <c r="D102" s="25">
        <f t="shared" ref="D102" si="42">D100/D101</f>
        <v>1.6803032611325691E-3</v>
      </c>
      <c r="E102" s="25">
        <f t="shared" ref="E102" si="43">E100/E101</f>
        <v>2.2668669065767475E-3</v>
      </c>
      <c r="F102" s="25">
        <f t="shared" ref="F102:H102" si="44">F100/F101</f>
        <v>2.800370322195613E-3</v>
      </c>
      <c r="G102" s="25">
        <f t="shared" si="44"/>
        <v>3.8933500191191297E-3</v>
      </c>
      <c r="H102" s="25">
        <f t="shared" si="44"/>
        <v>9.1511673921646224E-4</v>
      </c>
      <c r="J102"/>
      <c r="K102"/>
    </row>
    <row r="104" spans="1:21" x14ac:dyDescent="0.25">
      <c r="B104" s="22"/>
      <c r="C104" s="22"/>
      <c r="D104" s="22"/>
      <c r="E104" s="22"/>
      <c r="F104" s="22"/>
      <c r="G104" s="22"/>
      <c r="H104" s="28"/>
    </row>
    <row r="105" spans="1:21" x14ac:dyDescent="0.25">
      <c r="A105" s="35" t="s">
        <v>81</v>
      </c>
      <c r="B105" s="30">
        <f>+B91</f>
        <v>113</v>
      </c>
      <c r="C105" s="30">
        <f>+C91</f>
        <v>130</v>
      </c>
      <c r="D105" s="30">
        <v>125</v>
      </c>
      <c r="E105" s="82">
        <v>111</v>
      </c>
      <c r="F105" s="30">
        <v>125</v>
      </c>
      <c r="G105" s="30">
        <v>114</v>
      </c>
      <c r="H105" s="30">
        <v>134</v>
      </c>
    </row>
    <row r="106" spans="1:21" x14ac:dyDescent="0.25">
      <c r="A106" s="13" t="s">
        <v>82</v>
      </c>
      <c r="B106" s="83">
        <f>+B92</f>
        <v>29</v>
      </c>
      <c r="C106" s="83">
        <f>+C92</f>
        <v>29</v>
      </c>
      <c r="D106" s="83">
        <v>109</v>
      </c>
      <c r="E106" s="83">
        <v>109</v>
      </c>
      <c r="F106" s="83">
        <v>109</v>
      </c>
      <c r="G106" s="83">
        <v>109</v>
      </c>
      <c r="H106" s="83">
        <v>109</v>
      </c>
    </row>
    <row r="107" spans="1:21" x14ac:dyDescent="0.25">
      <c r="A107" s="35" t="s">
        <v>80</v>
      </c>
      <c r="B107" s="30">
        <f t="shared" ref="B107:H107" si="45">+B105+B106</f>
        <v>142</v>
      </c>
      <c r="C107" s="30">
        <f>+C105+C106</f>
        <v>159</v>
      </c>
      <c r="D107" s="30">
        <f t="shared" si="45"/>
        <v>234</v>
      </c>
      <c r="E107" s="30">
        <f t="shared" si="45"/>
        <v>220</v>
      </c>
      <c r="F107" s="30">
        <f t="shared" si="45"/>
        <v>234</v>
      </c>
      <c r="G107" s="30">
        <f t="shared" si="45"/>
        <v>223</v>
      </c>
      <c r="H107" s="30">
        <f t="shared" si="45"/>
        <v>243</v>
      </c>
      <c r="I107" s="15"/>
    </row>
    <row r="108" spans="1:21" x14ac:dyDescent="0.25">
      <c r="A108" s="40" t="s">
        <v>17</v>
      </c>
      <c r="B108" s="81">
        <f t="shared" ref="B108" si="46">+B72</f>
        <v>49442</v>
      </c>
      <c r="C108" s="81">
        <v>48202</v>
      </c>
      <c r="D108" s="81">
        <f>+D72</f>
        <v>46719</v>
      </c>
      <c r="E108" s="81">
        <f t="shared" ref="E108:H108" si="47">+E72</f>
        <v>45758</v>
      </c>
      <c r="F108" s="81">
        <f t="shared" si="47"/>
        <v>44396</v>
      </c>
      <c r="G108" s="81">
        <f t="shared" si="47"/>
        <v>43723</v>
      </c>
      <c r="H108" s="81">
        <f t="shared" si="47"/>
        <v>42578</v>
      </c>
      <c r="I108" s="15"/>
    </row>
    <row r="109" spans="1:21" ht="30.75" thickBot="1" x14ac:dyDescent="0.3">
      <c r="A109" s="16" t="s">
        <v>20</v>
      </c>
      <c r="B109" s="24">
        <f t="shared" ref="B109:C109" si="48">B107/B108</f>
        <v>2.8720521014522068E-3</v>
      </c>
      <c r="C109" s="24">
        <f t="shared" si="48"/>
        <v>3.2986183145927556E-3</v>
      </c>
      <c r="D109" s="24">
        <f>D107/D108</f>
        <v>5.0086688499325757E-3</v>
      </c>
      <c r="E109" s="24">
        <f t="shared" ref="E109:H109" si="49">E107/E108</f>
        <v>4.8079024432886057E-3</v>
      </c>
      <c r="F109" s="24">
        <f t="shared" si="49"/>
        <v>5.2707451121722674E-3</v>
      </c>
      <c r="G109" s="24">
        <f t="shared" si="49"/>
        <v>5.1002904649726693E-3</v>
      </c>
      <c r="H109" s="24">
        <f t="shared" si="49"/>
        <v>5.7071727183052277E-3</v>
      </c>
      <c r="I109" s="15"/>
    </row>
    <row r="110" spans="1:21" x14ac:dyDescent="0.25">
      <c r="B110" s="75"/>
      <c r="C110" s="75"/>
      <c r="D110" s="75"/>
      <c r="E110" s="75"/>
      <c r="F110" s="75"/>
      <c r="G110" s="75"/>
      <c r="I110" s="15"/>
    </row>
    <row r="111" spans="1:21" x14ac:dyDescent="0.25">
      <c r="I111" s="15"/>
      <c r="M111" s="73">
        <f>AVERAGE(D69:$H69)</f>
        <v>44634.8</v>
      </c>
      <c r="N111" s="73">
        <f>AVERAGE(E69:$H69)</f>
        <v>44113.75</v>
      </c>
      <c r="O111" s="73">
        <f>AVERAGE(F69:$H69)</f>
        <v>43565.666666666664</v>
      </c>
      <c r="P111" s="73">
        <f>AVERAGE(G69:$H69)</f>
        <v>43150.5</v>
      </c>
      <c r="Q111" s="19"/>
      <c r="R111" s="19"/>
      <c r="S111" s="22" t="s">
        <v>107</v>
      </c>
      <c r="T111" s="19"/>
      <c r="U111" s="19"/>
    </row>
    <row r="112" spans="1:21" s="15" customFormat="1" x14ac:dyDescent="0.25">
      <c r="A112" s="39" t="s">
        <v>90</v>
      </c>
      <c r="B112" s="66">
        <v>0.36</v>
      </c>
      <c r="C112" s="66">
        <v>0.46</v>
      </c>
      <c r="D112" s="65">
        <v>0.69335999999999998</v>
      </c>
      <c r="E112" s="66">
        <v>0.79801</v>
      </c>
      <c r="F112" s="66">
        <v>1.0606800000000001</v>
      </c>
      <c r="G112" s="66">
        <v>1.6559900000000001</v>
      </c>
      <c r="H112" s="66">
        <v>1.5542800000000001</v>
      </c>
      <c r="J112"/>
      <c r="K112"/>
      <c r="M112" s="73">
        <f>AVERAGE(D44:$H44)</f>
        <v>26552.400000000001</v>
      </c>
      <c r="N112" s="73">
        <f>AVERAGE(E44:$H44)</f>
        <v>26173.25</v>
      </c>
      <c r="O112" s="73">
        <f>AVERAGE(F44:$H44)</f>
        <v>25777.666666666668</v>
      </c>
      <c r="P112" s="73">
        <f>AVERAGE(G44:H44)</f>
        <v>25557.5</v>
      </c>
      <c r="Q112" s="22"/>
      <c r="R112" s="22"/>
      <c r="S112" s="22" t="s">
        <v>105</v>
      </c>
      <c r="T112" s="22"/>
      <c r="U112" s="22"/>
    </row>
    <row r="113" spans="1:21" s="15" customFormat="1" x14ac:dyDescent="0.25">
      <c r="A113" s="39" t="s">
        <v>89</v>
      </c>
      <c r="B113" s="47">
        <v>181</v>
      </c>
      <c r="C113" s="47">
        <v>90</v>
      </c>
      <c r="D113" s="52">
        <v>366</v>
      </c>
      <c r="E113" s="47">
        <v>275</v>
      </c>
      <c r="F113" s="47">
        <v>182</v>
      </c>
      <c r="G113" s="47">
        <v>91</v>
      </c>
      <c r="H113" s="47">
        <v>365</v>
      </c>
      <c r="J113"/>
      <c r="K113"/>
      <c r="M113" s="73">
        <f>AVERAGE(D48:$H48)</f>
        <v>26716.2</v>
      </c>
      <c r="N113" s="73">
        <f>AVERAGE(E48:$H48)</f>
        <v>26339.75</v>
      </c>
      <c r="O113" s="73">
        <f>AVERAGE(F48:$H48)</f>
        <v>25946.666666666668</v>
      </c>
      <c r="P113" s="73">
        <f>AVERAGE(G48:$H48)</f>
        <v>25717</v>
      </c>
      <c r="Q113" s="22"/>
      <c r="R113" s="22"/>
      <c r="S113" s="22" t="s">
        <v>106</v>
      </c>
      <c r="T113" s="22"/>
      <c r="U113" s="22"/>
    </row>
    <row r="114" spans="1:21" s="15" customFormat="1" x14ac:dyDescent="0.25">
      <c r="A114" s="39"/>
      <c r="B114" s="47"/>
      <c r="C114" s="47"/>
      <c r="D114" s="52"/>
      <c r="E114" s="47"/>
      <c r="F114" s="47"/>
      <c r="G114" s="47"/>
      <c r="H114" s="47"/>
      <c r="J114"/>
      <c r="K114"/>
    </row>
    <row r="115" spans="1:21" s="28" customFormat="1" x14ac:dyDescent="0.25">
      <c r="A115" s="28" t="s">
        <v>91</v>
      </c>
      <c r="B115" s="30">
        <f>18385-B116</f>
        <v>14559</v>
      </c>
      <c r="C115" s="30">
        <f>18314-C116</f>
        <v>14394</v>
      </c>
      <c r="D115" s="30">
        <v>12950</v>
      </c>
      <c r="E115" s="30">
        <v>12710</v>
      </c>
      <c r="F115" s="30">
        <v>12550</v>
      </c>
      <c r="G115" s="30">
        <v>12133</v>
      </c>
      <c r="H115" s="30">
        <v>10650</v>
      </c>
      <c r="J115"/>
      <c r="K115"/>
      <c r="M115" s="73">
        <f>+D115+D127</f>
        <v>26450</v>
      </c>
      <c r="N115" s="73">
        <f t="shared" ref="N115:Q115" si="50">+E115+E127</f>
        <v>25800</v>
      </c>
      <c r="O115" s="73">
        <f t="shared" si="50"/>
        <v>25675</v>
      </c>
      <c r="P115" s="73">
        <f t="shared" si="50"/>
        <v>25834</v>
      </c>
      <c r="Q115" s="73">
        <f t="shared" si="50"/>
        <v>23560</v>
      </c>
      <c r="R115" s="22" t="s">
        <v>104</v>
      </c>
      <c r="S115" s="22"/>
    </row>
    <row r="116" spans="1:21" s="28" customFormat="1" x14ac:dyDescent="0.25">
      <c r="A116" s="28" t="s">
        <v>92</v>
      </c>
      <c r="B116" s="30">
        <v>3826</v>
      </c>
      <c r="C116" s="30">
        <v>3920</v>
      </c>
      <c r="D116" s="30">
        <v>4079</v>
      </c>
      <c r="E116" s="30">
        <v>4125</v>
      </c>
      <c r="F116" s="30">
        <v>4121</v>
      </c>
      <c r="G116" s="30">
        <v>4067</v>
      </c>
      <c r="H116" s="30">
        <v>4313</v>
      </c>
      <c r="J116"/>
      <c r="K116"/>
      <c r="M116" s="73">
        <f>+D116+D128</f>
        <v>17844</v>
      </c>
      <c r="N116" s="73">
        <f t="shared" ref="N116:Q116" si="51">+E116+E128</f>
        <v>17747</v>
      </c>
      <c r="O116" s="73">
        <f t="shared" si="51"/>
        <v>17579</v>
      </c>
      <c r="P116" s="73">
        <f t="shared" si="51"/>
        <v>17101</v>
      </c>
      <c r="Q116" s="73">
        <f t="shared" si="51"/>
        <v>16523</v>
      </c>
      <c r="R116" s="22" t="s">
        <v>102</v>
      </c>
      <c r="S116" s="22"/>
    </row>
    <row r="117" spans="1:21" s="28" customFormat="1" x14ac:dyDescent="0.25">
      <c r="A117" s="28" t="s">
        <v>87</v>
      </c>
      <c r="B117" s="30">
        <f>245.7-3.8</f>
        <v>241.89999999999998</v>
      </c>
      <c r="C117" s="30">
        <v>121.5</v>
      </c>
      <c r="D117" s="71">
        <v>492.95800000000003</v>
      </c>
      <c r="E117" s="30">
        <v>380.67900000000003</v>
      </c>
      <c r="F117" s="30">
        <v>269.61900000000003</v>
      </c>
      <c r="G117" s="30">
        <f>143.172-2</f>
        <v>141.172</v>
      </c>
      <c r="H117" s="30">
        <v>466.428</v>
      </c>
      <c r="J117"/>
      <c r="K117"/>
      <c r="M117" s="73">
        <f>SUM(M115:M116)</f>
        <v>44294</v>
      </c>
      <c r="N117" s="73">
        <f t="shared" ref="N117:Q117" si="52">SUM(N115:N116)</f>
        <v>43547</v>
      </c>
      <c r="O117" s="73">
        <f t="shared" si="52"/>
        <v>43254</v>
      </c>
      <c r="P117" s="73">
        <f t="shared" si="52"/>
        <v>42935</v>
      </c>
      <c r="Q117" s="73">
        <f t="shared" si="52"/>
        <v>40083</v>
      </c>
      <c r="R117" s="22" t="s">
        <v>103</v>
      </c>
      <c r="S117" s="22"/>
    </row>
    <row r="118" spans="1:21" s="28" customFormat="1" x14ac:dyDescent="0.25">
      <c r="A118" s="28" t="s">
        <v>88</v>
      </c>
      <c r="B118" s="30">
        <v>57.6</v>
      </c>
      <c r="C118" s="30">
        <v>30</v>
      </c>
      <c r="D118" s="71">
        <v>144</v>
      </c>
      <c r="E118" s="30">
        <v>115</v>
      </c>
      <c r="F118" s="30">
        <v>83.8</v>
      </c>
      <c r="G118" s="30">
        <v>45.5</v>
      </c>
      <c r="H118" s="30">
        <v>176.833</v>
      </c>
      <c r="J118"/>
      <c r="K118"/>
    </row>
    <row r="119" spans="1:21" s="28" customFormat="1" x14ac:dyDescent="0.25">
      <c r="A119" s="67" t="s">
        <v>27</v>
      </c>
      <c r="B119" s="72">
        <f>+(B115+B116)*B112%*B113/365</f>
        <v>32.821002739726026</v>
      </c>
      <c r="C119" s="72">
        <f>+(C115+C116)*C112%*C113/365</f>
        <v>20.772591780821919</v>
      </c>
      <c r="D119" s="72">
        <f>+(D115+D116)*D112%*D113/366</f>
        <v>118.0722744</v>
      </c>
      <c r="E119" s="72">
        <f t="shared" ref="E119:F119" si="53">+(E115+E116)*E112%*E113/366</f>
        <v>100.94226902322406</v>
      </c>
      <c r="F119" s="72">
        <f t="shared" si="53"/>
        <v>87.929850354098363</v>
      </c>
      <c r="G119" s="72">
        <f>+(G115+G116)*G112%*G113/366</f>
        <v>66.701105409836075</v>
      </c>
      <c r="H119" s="72">
        <f>+(H115+H116)*H112%*H113/365</f>
        <v>232.5669164</v>
      </c>
      <c r="J119"/>
      <c r="K119"/>
    </row>
    <row r="120" spans="1:21" s="28" customFormat="1" x14ac:dyDescent="0.25">
      <c r="A120" s="47" t="s">
        <v>93</v>
      </c>
      <c r="B120" s="71">
        <f>+B118+B117-B119</f>
        <v>266.67899726027395</v>
      </c>
      <c r="C120" s="71">
        <f>+C118+C117-C119</f>
        <v>130.72740821917807</v>
      </c>
      <c r="D120" s="71">
        <f>+D118+D117-D119</f>
        <v>518.88572560000011</v>
      </c>
      <c r="E120" s="71">
        <f t="shared" ref="E120:H120" si="54">+E118+E117-E119</f>
        <v>394.73673097677596</v>
      </c>
      <c r="F120" s="71">
        <f t="shared" si="54"/>
        <v>265.48914964590165</v>
      </c>
      <c r="G120" s="71">
        <f>+G118+G117-G119</f>
        <v>119.97089459016392</v>
      </c>
      <c r="H120" s="71">
        <f t="shared" si="54"/>
        <v>410.6940836</v>
      </c>
      <c r="J120"/>
      <c r="K120"/>
    </row>
    <row r="121" spans="1:21" s="64" customFormat="1" ht="15.75" thickBot="1" x14ac:dyDescent="0.3">
      <c r="A121" s="16" t="s">
        <v>112</v>
      </c>
      <c r="B121" s="24">
        <f>+B120*(365/B113)/(B115+B116)</f>
        <v>2.9250915876953498E-2</v>
      </c>
      <c r="C121" s="24">
        <f>+C120*(365/C113)/(C115+C116)</f>
        <v>2.894901532525208E-2</v>
      </c>
      <c r="D121" s="24">
        <f>+D120*(366/D113)/(D115+D116)</f>
        <v>3.047071029420401E-2</v>
      </c>
      <c r="E121" s="24">
        <f t="shared" ref="E121:G121" si="55">+E120*(366/E113)/(E115+E116)</f>
        <v>3.1206338210438209E-2</v>
      </c>
      <c r="F121" s="24">
        <f t="shared" si="55"/>
        <v>3.2025419139507245E-2</v>
      </c>
      <c r="G121" s="24">
        <f t="shared" si="55"/>
        <v>2.9785203785103784E-2</v>
      </c>
      <c r="H121" s="24">
        <f>+H120*(365/H113)/(H115+H116)</f>
        <v>2.7447308935373921E-2</v>
      </c>
      <c r="J121"/>
      <c r="K121"/>
    </row>
    <row r="122" spans="1:21" s="28" customFormat="1" hidden="1" x14ac:dyDescent="0.25">
      <c r="A122" s="47"/>
      <c r="B122" s="74">
        <f>+(B117+B118)*(365/B113)/(B115+B116)</f>
        <v>3.2850915876953497E-2</v>
      </c>
      <c r="C122" s="74">
        <f>+(C117+C118)*(365/C113)/(C115+C116)</f>
        <v>3.3549015325252084E-2</v>
      </c>
      <c r="D122" s="68"/>
      <c r="E122" s="69"/>
      <c r="F122" s="69"/>
      <c r="G122" s="69"/>
      <c r="H122" s="69"/>
      <c r="J122"/>
      <c r="K122"/>
    </row>
    <row r="123" spans="1:21" s="28" customFormat="1" hidden="1" x14ac:dyDescent="0.25">
      <c r="A123" s="47"/>
      <c r="B123" s="74">
        <f>+(B117)*(365/B113)/(B115)</f>
        <v>3.3505693541121873E-2</v>
      </c>
      <c r="C123" s="74">
        <f>+(C117)*(365/C113)/(C115)</f>
        <v>3.4233013755731553E-2</v>
      </c>
      <c r="D123" s="68"/>
      <c r="E123" s="69"/>
      <c r="F123" s="69"/>
      <c r="G123" s="69"/>
      <c r="H123" s="69"/>
      <c r="J123"/>
      <c r="K123"/>
    </row>
    <row r="124" spans="1:21" s="28" customFormat="1" hidden="1" x14ac:dyDescent="0.25">
      <c r="A124" s="47"/>
      <c r="B124" s="74">
        <f>+(B118)*(365/B113)/(B116)</f>
        <v>3.0359303746104731E-2</v>
      </c>
      <c r="C124" s="74">
        <f>+(C118)*(365/C113)/(C116)</f>
        <v>3.1037414965986391E-2</v>
      </c>
      <c r="D124" s="68"/>
      <c r="E124" s="69"/>
      <c r="F124" s="69"/>
      <c r="G124" s="69"/>
      <c r="H124" s="69"/>
      <c r="J124"/>
      <c r="K124"/>
    </row>
    <row r="125" spans="1:21" s="28" customFormat="1" x14ac:dyDescent="0.25">
      <c r="A125" s="47"/>
      <c r="D125" s="54"/>
      <c r="J125"/>
      <c r="K125"/>
    </row>
    <row r="126" spans="1:21" s="28" customFormat="1" x14ac:dyDescent="0.25">
      <c r="A126" s="47"/>
      <c r="D126" s="54"/>
      <c r="J126"/>
      <c r="K126"/>
    </row>
    <row r="127" spans="1:21" s="28" customFormat="1" x14ac:dyDescent="0.25">
      <c r="A127" s="28" t="s">
        <v>94</v>
      </c>
      <c r="B127" s="30">
        <f>29831-B128</f>
        <v>15020</v>
      </c>
      <c r="C127" s="30">
        <f>29379-C128</f>
        <v>14834</v>
      </c>
      <c r="D127" s="30">
        <v>13500</v>
      </c>
      <c r="E127" s="30">
        <v>13090</v>
      </c>
      <c r="F127" s="30">
        <v>13125</v>
      </c>
      <c r="G127" s="30">
        <v>13701</v>
      </c>
      <c r="H127" s="30">
        <v>12910</v>
      </c>
      <c r="J127"/>
      <c r="K127"/>
      <c r="M127" s="22" t="s">
        <v>101</v>
      </c>
    </row>
    <row r="128" spans="1:21" s="28" customFormat="1" x14ac:dyDescent="0.25">
      <c r="A128" s="28" t="s">
        <v>96</v>
      </c>
      <c r="B128" s="30">
        <v>14811</v>
      </c>
      <c r="C128" s="30">
        <v>14545</v>
      </c>
      <c r="D128" s="30">
        <v>13765</v>
      </c>
      <c r="E128" s="30">
        <v>13622</v>
      </c>
      <c r="F128" s="30">
        <v>13458</v>
      </c>
      <c r="G128" s="30">
        <v>13034</v>
      </c>
      <c r="H128" s="30">
        <v>12210</v>
      </c>
      <c r="J128"/>
      <c r="K128"/>
    </row>
    <row r="129" spans="1:17" s="28" customFormat="1" x14ac:dyDescent="0.25">
      <c r="A129" s="28" t="s">
        <v>95</v>
      </c>
      <c r="B129" s="30">
        <f>187.1+3.9</f>
        <v>191</v>
      </c>
      <c r="C129" s="30">
        <f>92.3+2</f>
        <v>94.3</v>
      </c>
      <c r="D129" s="71">
        <v>412.38</v>
      </c>
      <c r="E129" s="30">
        <v>317.82299999999998</v>
      </c>
      <c r="F129" s="30">
        <f>225.46-2.9</f>
        <v>222.56</v>
      </c>
      <c r="G129" s="30">
        <f>123.177+2</f>
        <v>125.17700000000001</v>
      </c>
      <c r="H129" s="30">
        <v>446.20400000000001</v>
      </c>
      <c r="J129"/>
      <c r="K129"/>
    </row>
    <row r="130" spans="1:17" s="28" customFormat="1" x14ac:dyDescent="0.25">
      <c r="A130" s="28" t="s">
        <v>97</v>
      </c>
      <c r="B130" s="30">
        <v>139.69999999999999</v>
      </c>
      <c r="C130" s="30">
        <v>69.3</v>
      </c>
      <c r="D130" s="71">
        <v>323.60000000000002</v>
      </c>
      <c r="E130" s="30">
        <v>254.3</v>
      </c>
      <c r="F130" s="30">
        <v>185.2</v>
      </c>
      <c r="G130" s="30">
        <v>100.78</v>
      </c>
      <c r="H130" s="30">
        <v>346.76</v>
      </c>
      <c r="J130"/>
      <c r="K130"/>
    </row>
    <row r="131" spans="1:17" s="28" customFormat="1" x14ac:dyDescent="0.25">
      <c r="A131" s="67" t="s">
        <v>27</v>
      </c>
      <c r="B131" s="72">
        <f>+(B127+B128)*B112%*B113/365</f>
        <v>53.25446465753425</v>
      </c>
      <c r="C131" s="72">
        <f>+(C127+C128)*C112%*C113/365</f>
        <v>33.323030136986297</v>
      </c>
      <c r="D131" s="72">
        <f>+(D127+D128)*D112%*D113/366</f>
        <v>189.04460400000002</v>
      </c>
      <c r="E131" s="72">
        <f t="shared" ref="E131:G131" si="56">+(E127+E128)*E112%*E113/366</f>
        <v>160.16453163934429</v>
      </c>
      <c r="F131" s="72">
        <f t="shared" si="56"/>
        <v>140.2098981442623</v>
      </c>
      <c r="G131" s="72">
        <f t="shared" si="56"/>
        <v>110.07741068715848</v>
      </c>
      <c r="H131" s="72">
        <f>+(H127+H128)*H112%*H113/365</f>
        <v>390.435136</v>
      </c>
      <c r="J131"/>
      <c r="K131"/>
    </row>
    <row r="132" spans="1:17" s="28" customFormat="1" x14ac:dyDescent="0.25">
      <c r="A132" s="47" t="s">
        <v>93</v>
      </c>
      <c r="B132" s="71">
        <f t="shared" ref="B132:C132" si="57">+B130+B129-B131</f>
        <v>277.44553534246575</v>
      </c>
      <c r="C132" s="71">
        <f t="shared" si="57"/>
        <v>130.2769698630137</v>
      </c>
      <c r="D132" s="71">
        <f>+D130+D129-D131</f>
        <v>546.93539599999997</v>
      </c>
      <c r="E132" s="71">
        <f t="shared" ref="E132:H132" si="58">+E130+E129-E131</f>
        <v>411.95846836065573</v>
      </c>
      <c r="F132" s="71">
        <f t="shared" si="58"/>
        <v>267.55010185573769</v>
      </c>
      <c r="G132" s="71">
        <f t="shared" si="58"/>
        <v>115.87958931284152</v>
      </c>
      <c r="H132" s="71">
        <f t="shared" si="58"/>
        <v>402.52886399999994</v>
      </c>
      <c r="J132"/>
      <c r="K132"/>
    </row>
    <row r="133" spans="1:17" s="64" customFormat="1" ht="15.75" thickBot="1" x14ac:dyDescent="0.3">
      <c r="A133" s="16" t="s">
        <v>111</v>
      </c>
      <c r="B133" s="24">
        <f>+B132*(365/B113)/(B127+B128)</f>
        <v>1.8755308754973457E-2</v>
      </c>
      <c r="C133" s="24">
        <f>+C132*(365/C113)/(C127+C128)</f>
        <v>1.7983780553759109E-2</v>
      </c>
      <c r="D133" s="24">
        <f>+D132*(366/D113)/(D127+D128)</f>
        <v>2.0059981514762515E-2</v>
      </c>
      <c r="E133" s="24">
        <f>+E132*(366/E113)/(E127+E128)</f>
        <v>2.0525579163603688E-2</v>
      </c>
      <c r="F133" s="24">
        <f t="shared" ref="F133:G133" si="59">+F132*(366/F113)/(F127+F128)</f>
        <v>2.0240014848620515E-2</v>
      </c>
      <c r="G133" s="24">
        <f t="shared" si="59"/>
        <v>1.7432772074512357E-2</v>
      </c>
      <c r="H133" s="24">
        <f>+H132*(365/H113)/(H127+H128)</f>
        <v>1.6024238216560509E-2</v>
      </c>
      <c r="J133"/>
      <c r="K133"/>
    </row>
    <row r="134" spans="1:17" s="64" customFormat="1" x14ac:dyDescent="0.25">
      <c r="A134" s="61"/>
      <c r="B134" s="69"/>
      <c r="C134" s="63"/>
      <c r="D134" s="62"/>
      <c r="E134" s="63"/>
      <c r="F134" s="63"/>
      <c r="G134" s="63"/>
      <c r="H134" s="63"/>
      <c r="J134"/>
      <c r="K134"/>
    </row>
    <row r="135" spans="1:17" s="15" customFormat="1" x14ac:dyDescent="0.25">
      <c r="A135" s="47"/>
      <c r="B135" s="69"/>
      <c r="C135" s="69"/>
      <c r="D135" s="68"/>
      <c r="E135" s="69"/>
      <c r="F135" s="69"/>
      <c r="G135" s="69"/>
      <c r="H135" s="69"/>
      <c r="J135"/>
      <c r="K135"/>
    </row>
    <row r="136" spans="1:17" s="15" customFormat="1" x14ac:dyDescent="0.25">
      <c r="A136" s="47" t="s">
        <v>100</v>
      </c>
      <c r="B136" s="30">
        <v>18202.5</v>
      </c>
      <c r="C136" s="30">
        <v>17913</v>
      </c>
      <c r="D136" s="71">
        <v>16587</v>
      </c>
      <c r="E136" s="30">
        <v>16295</v>
      </c>
      <c r="F136" s="30">
        <v>15959</v>
      </c>
      <c r="G136" s="30">
        <v>15676</v>
      </c>
      <c r="H136" s="30">
        <v>15189</v>
      </c>
      <c r="J136"/>
      <c r="K136"/>
    </row>
    <row r="137" spans="1:17" s="15" customFormat="1" x14ac:dyDescent="0.25">
      <c r="A137" s="47"/>
      <c r="B137" s="30"/>
      <c r="C137" s="30"/>
      <c r="D137" s="71"/>
      <c r="E137" s="30"/>
      <c r="F137" s="30"/>
      <c r="G137" s="30"/>
      <c r="H137" s="30"/>
      <c r="J137"/>
      <c r="K137"/>
    </row>
    <row r="138" spans="1:17" s="15" customFormat="1" x14ac:dyDescent="0.25">
      <c r="A138" s="47" t="s">
        <v>109</v>
      </c>
      <c r="B138" s="30">
        <v>136</v>
      </c>
      <c r="C138" s="30">
        <v>69</v>
      </c>
      <c r="D138" s="71">
        <v>375</v>
      </c>
      <c r="E138" s="30">
        <v>309</v>
      </c>
      <c r="F138" s="30">
        <v>243</v>
      </c>
      <c r="G138" s="30">
        <v>135</v>
      </c>
      <c r="H138" s="30">
        <v>437</v>
      </c>
      <c r="J138"/>
      <c r="K138"/>
    </row>
    <row r="139" spans="1:17" s="15" customFormat="1" x14ac:dyDescent="0.25">
      <c r="A139" s="67" t="s">
        <v>110</v>
      </c>
      <c r="B139" s="81">
        <f>-105+18</f>
        <v>-87</v>
      </c>
      <c r="C139" s="81">
        <f>-52+8</f>
        <v>-44</v>
      </c>
      <c r="D139" s="72">
        <f>-245+12-1</f>
        <v>-234</v>
      </c>
      <c r="E139" s="81">
        <f>-194+2</f>
        <v>-192</v>
      </c>
      <c r="F139" s="81">
        <f>-143-8</f>
        <v>-151</v>
      </c>
      <c r="G139" s="81">
        <f>-78-7</f>
        <v>-85</v>
      </c>
      <c r="H139" s="81">
        <f>-264-4</f>
        <v>-268</v>
      </c>
      <c r="J139"/>
      <c r="K139"/>
    </row>
    <row r="140" spans="1:17" s="15" customFormat="1" x14ac:dyDescent="0.25">
      <c r="A140" s="47" t="s">
        <v>98</v>
      </c>
      <c r="B140" s="30">
        <f t="shared" ref="B140:H140" si="60">SUM(B138:B139)</f>
        <v>49</v>
      </c>
      <c r="C140" s="30">
        <f t="shared" si="60"/>
        <v>25</v>
      </c>
      <c r="D140" s="30">
        <f t="shared" si="60"/>
        <v>141</v>
      </c>
      <c r="E140" s="30">
        <f t="shared" si="60"/>
        <v>117</v>
      </c>
      <c r="F140" s="30">
        <f t="shared" si="60"/>
        <v>92</v>
      </c>
      <c r="G140" s="30">
        <f t="shared" si="60"/>
        <v>50</v>
      </c>
      <c r="H140" s="30">
        <f t="shared" si="60"/>
        <v>169</v>
      </c>
      <c r="J140"/>
      <c r="K140"/>
    </row>
    <row r="141" spans="1:17" s="15" customFormat="1" x14ac:dyDescent="0.25">
      <c r="A141" s="47"/>
      <c r="B141" s="30"/>
      <c r="C141" s="30"/>
      <c r="D141" s="30"/>
      <c r="E141" s="30"/>
      <c r="F141" s="30"/>
      <c r="G141" s="30"/>
      <c r="H141" s="30"/>
      <c r="J141"/>
      <c r="K141"/>
    </row>
    <row r="142" spans="1:17" s="15" customFormat="1" x14ac:dyDescent="0.25">
      <c r="A142" s="67" t="s">
        <v>27</v>
      </c>
      <c r="B142" s="72">
        <f>+B136*B112%*B113/365</f>
        <v>32.495202739726025</v>
      </c>
      <c r="C142" s="72">
        <f>+C136*C112%*C113/365</f>
        <v>20.317758904109589</v>
      </c>
      <c r="D142" s="72">
        <f>+D136*D112%*D113/366</f>
        <v>115.0076232</v>
      </c>
      <c r="E142" s="72">
        <f>+E136*E112%*E113/366</f>
        <v>97.704441564207642</v>
      </c>
      <c r="F142" s="72">
        <f>+F136*F112%*F113/366</f>
        <v>84.174463547540995</v>
      </c>
      <c r="G142" s="72">
        <f>+G136*G112%*G113/366</f>
        <v>64.543612864480878</v>
      </c>
      <c r="H142" s="72">
        <f>+H136*H112%*H113/365</f>
        <v>236.07958920000002</v>
      </c>
      <c r="J142"/>
      <c r="K142"/>
    </row>
    <row r="143" spans="1:17" s="15" customFormat="1" x14ac:dyDescent="0.25">
      <c r="A143" s="47" t="s">
        <v>99</v>
      </c>
      <c r="B143" s="71">
        <f>+B142-B140</f>
        <v>-16.504797260273975</v>
      </c>
      <c r="C143" s="71">
        <f t="shared" ref="C143" si="61">+C142-C140</f>
        <v>-4.6822410958904115</v>
      </c>
      <c r="D143" s="71">
        <f>+D142-D140</f>
        <v>-25.992376800000002</v>
      </c>
      <c r="E143" s="71">
        <f t="shared" ref="E143:H143" si="62">+E142-E140</f>
        <v>-19.295558435792358</v>
      </c>
      <c r="F143" s="71">
        <f t="shared" si="62"/>
        <v>-7.825536452459005</v>
      </c>
      <c r="G143" s="71">
        <f t="shared" si="62"/>
        <v>14.543612864480878</v>
      </c>
      <c r="H143" s="71">
        <f t="shared" si="62"/>
        <v>67.079589200000015</v>
      </c>
      <c r="J143"/>
      <c r="K143"/>
    </row>
    <row r="144" spans="1:17" s="70" customFormat="1" ht="15.75" thickBot="1" x14ac:dyDescent="0.3">
      <c r="A144" s="16" t="s">
        <v>113</v>
      </c>
      <c r="B144" s="24">
        <f>+B143*(365/B113)/B136</f>
        <v>-1.8284935968209096E-3</v>
      </c>
      <c r="C144" s="24">
        <f>+C143*(365/C113)/C136</f>
        <v>-1.0600730692172662E-3</v>
      </c>
      <c r="D144" s="24">
        <f>+D143*(366/D113)/D136</f>
        <v>-1.5670330258636283E-3</v>
      </c>
      <c r="E144" s="24">
        <f>+E143*(366/E113)/E136</f>
        <v>-1.5759824569723012E-3</v>
      </c>
      <c r="F144" s="24">
        <f>+F143*(366/F113)/F136</f>
        <v>-9.8609360304461355E-4</v>
      </c>
      <c r="G144" s="24">
        <f>+G143*(366/G113)/G136</f>
        <v>3.7314424152270292E-3</v>
      </c>
      <c r="H144" s="24">
        <f>+H143*(365/H113)/H136</f>
        <v>4.416326894463099E-3</v>
      </c>
      <c r="J144"/>
      <c r="K144"/>
      <c r="Q144" s="15"/>
    </row>
    <row r="145" spans="1:17" x14ac:dyDescent="0.25">
      <c r="A145" s="44"/>
      <c r="B145" s="53"/>
      <c r="C145" s="53"/>
      <c r="D145" s="53"/>
      <c r="E145" s="46"/>
      <c r="F145" s="46"/>
      <c r="G145" s="46"/>
      <c r="H145" s="46"/>
      <c r="Q145" s="15"/>
    </row>
    <row r="146" spans="1:17" x14ac:dyDescent="0.25">
      <c r="A146" s="44"/>
      <c r="B146" s="53"/>
      <c r="C146" s="53"/>
      <c r="D146" s="53"/>
      <c r="E146" s="46"/>
      <c r="F146" s="46"/>
      <c r="G146" s="46"/>
      <c r="H146" s="46"/>
      <c r="Q146" s="15"/>
    </row>
    <row r="147" spans="1:17" x14ac:dyDescent="0.25">
      <c r="A147" s="44"/>
      <c r="B147" s="53"/>
      <c r="C147" s="53"/>
      <c r="D147" s="53"/>
      <c r="E147" s="46"/>
      <c r="F147" s="46"/>
      <c r="G147" s="46"/>
      <c r="H147" s="46"/>
      <c r="Q147" s="15"/>
    </row>
    <row r="148" spans="1:17" x14ac:dyDescent="0.25">
      <c r="A148" s="44"/>
      <c r="B148" s="53"/>
      <c r="C148" s="53"/>
      <c r="D148" s="53"/>
      <c r="E148" s="46"/>
      <c r="F148" s="46"/>
      <c r="G148" s="46"/>
      <c r="H148" s="46"/>
    </row>
    <row r="149" spans="1:17" x14ac:dyDescent="0.25">
      <c r="A149" s="44"/>
      <c r="B149" s="53"/>
      <c r="C149" s="53"/>
      <c r="D149" s="53"/>
      <c r="E149" s="46"/>
      <c r="F149" s="46"/>
      <c r="G149" s="46"/>
      <c r="H149" s="46"/>
    </row>
    <row r="150" spans="1:17" x14ac:dyDescent="0.25">
      <c r="A150" s="44"/>
      <c r="B150" s="53"/>
      <c r="C150" s="53"/>
      <c r="D150" s="53"/>
      <c r="E150" s="46"/>
      <c r="F150" s="46"/>
      <c r="G150" s="46"/>
      <c r="H150" s="46"/>
    </row>
    <row r="151" spans="1:17" x14ac:dyDescent="0.25">
      <c r="A151" s="44"/>
      <c r="B151" s="53"/>
      <c r="C151" s="53"/>
      <c r="D151" s="53"/>
      <c r="E151" s="46"/>
      <c r="F151" s="46"/>
      <c r="G151" s="46"/>
      <c r="H151" s="46"/>
    </row>
    <row r="152" spans="1:17" x14ac:dyDescent="0.25">
      <c r="A152" s="44"/>
      <c r="B152" s="53"/>
      <c r="C152" s="53"/>
      <c r="D152" s="53"/>
      <c r="E152" s="46"/>
      <c r="F152" s="46"/>
      <c r="G152" s="46"/>
      <c r="H152" s="46"/>
    </row>
    <row r="153" spans="1:17" x14ac:dyDescent="0.25">
      <c r="A153" s="44"/>
      <c r="B153" s="53"/>
      <c r="C153" s="53"/>
      <c r="D153" s="53"/>
      <c r="E153" s="46"/>
      <c r="F153" s="46"/>
      <c r="G153" s="46"/>
      <c r="H153" s="46"/>
    </row>
    <row r="154" spans="1:17" x14ac:dyDescent="0.25">
      <c r="A154" s="44"/>
      <c r="B154" s="53"/>
      <c r="C154" s="53"/>
      <c r="D154" s="53"/>
      <c r="E154" s="46"/>
      <c r="F154" s="46"/>
      <c r="G154" s="46"/>
      <c r="H154" s="46"/>
    </row>
    <row r="155" spans="1:17" x14ac:dyDescent="0.25">
      <c r="A155" s="44"/>
      <c r="B155" s="53"/>
      <c r="C155" s="53"/>
      <c r="D155" s="53"/>
      <c r="E155" s="46"/>
      <c r="F155" s="46"/>
      <c r="G155" s="46"/>
      <c r="H155" s="46"/>
    </row>
    <row r="156" spans="1:17" x14ac:dyDescent="0.25">
      <c r="A156" s="44"/>
      <c r="B156" s="53"/>
      <c r="C156" s="53"/>
      <c r="D156" s="53"/>
      <c r="E156" s="46"/>
      <c r="F156" s="46"/>
      <c r="G156" s="46"/>
      <c r="H156" s="46"/>
    </row>
    <row r="157" spans="1:17" x14ac:dyDescent="0.25">
      <c r="A157" s="44"/>
      <c r="B157" s="53"/>
      <c r="C157" s="53"/>
      <c r="D157" s="53"/>
      <c r="E157" s="46"/>
      <c r="F157" s="46"/>
      <c r="G157" s="46"/>
      <c r="H157" s="46"/>
    </row>
    <row r="158" spans="1:17" x14ac:dyDescent="0.25">
      <c r="A158" s="44"/>
      <c r="B158" s="53"/>
      <c r="C158" s="53"/>
      <c r="D158" s="53"/>
      <c r="E158" s="46"/>
      <c r="F158" s="46"/>
      <c r="G158" s="46"/>
      <c r="H158" s="46"/>
    </row>
    <row r="159" spans="1:17" x14ac:dyDescent="0.25">
      <c r="A159" s="44"/>
      <c r="B159" s="53"/>
      <c r="C159" s="53"/>
      <c r="D159" s="53"/>
      <c r="E159" s="46"/>
      <c r="F159" s="46"/>
      <c r="G159" s="46"/>
      <c r="H159" s="46"/>
    </row>
    <row r="160" spans="1:17" x14ac:dyDescent="0.25">
      <c r="A160" s="44"/>
      <c r="B160" s="53"/>
      <c r="C160" s="53"/>
      <c r="D160" s="53"/>
      <c r="E160" s="46"/>
      <c r="F160" s="46"/>
      <c r="G160" s="46"/>
      <c r="H160" s="46"/>
    </row>
    <row r="161" spans="1:8" x14ac:dyDescent="0.25">
      <c r="A161" s="44"/>
      <c r="B161" s="53"/>
      <c r="C161" s="53"/>
      <c r="D161" s="53"/>
      <c r="E161" s="46"/>
      <c r="F161" s="46"/>
      <c r="G161" s="46"/>
      <c r="H161" s="46"/>
    </row>
    <row r="162" spans="1:8" x14ac:dyDescent="0.25">
      <c r="A162" s="44"/>
      <c r="B162" s="53"/>
      <c r="C162" s="53"/>
      <c r="D162" s="53"/>
      <c r="E162" s="46"/>
      <c r="F162" s="46"/>
      <c r="G162" s="46"/>
      <c r="H162" s="46"/>
    </row>
    <row r="163" spans="1:8" x14ac:dyDescent="0.25">
      <c r="A163" s="44"/>
      <c r="B163" s="53"/>
      <c r="C163" s="53"/>
      <c r="D163" s="53"/>
      <c r="E163" s="46"/>
      <c r="F163" s="46"/>
      <c r="G163" s="46"/>
      <c r="H163" s="46"/>
    </row>
    <row r="164" spans="1:8" x14ac:dyDescent="0.25">
      <c r="A164" s="44"/>
      <c r="B164" s="53"/>
      <c r="C164" s="53"/>
      <c r="D164" s="53"/>
      <c r="E164" s="46"/>
      <c r="F164" s="46"/>
      <c r="G164" s="46"/>
      <c r="H164" s="46"/>
    </row>
    <row r="165" spans="1:8" x14ac:dyDescent="0.25">
      <c r="A165" s="44"/>
      <c r="B165" s="53"/>
      <c r="C165" s="53"/>
      <c r="D165" s="53"/>
      <c r="E165" s="46"/>
      <c r="F165" s="46"/>
      <c r="G165" s="46"/>
      <c r="H165" s="46"/>
    </row>
  </sheetData>
  <pageMargins left="0.7" right="0.7" top="0.75" bottom="0.75" header="0.3" footer="0.3"/>
  <pageSetup paperSize="9" orientation="portrait" r:id="rId1"/>
  <ignoredErrors>
    <ignoredError sqref="B23 D23:G2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2F24414740EFB4C820770621D7159A3" ma:contentTypeVersion="2" ma:contentTypeDescription="Create a new document." ma:contentTypeScope="" ma:versionID="511b5347395e0c43b348394748798e54">
  <xsd:schema xmlns:xsd="http://www.w3.org/2001/XMLSchema" xmlns:xs="http://www.w3.org/2001/XMLSchema" xmlns:p="http://schemas.microsoft.com/office/2006/metadata/properties" xmlns:ns2="4315fb67-519e-4616-947a-3076539a5839" targetNamespace="http://schemas.microsoft.com/office/2006/metadata/properties" ma:root="true" ma:fieldsID="e8a1b51020b384bd81573df5eccbb05c" ns2:_="">
    <xsd:import namespace="4315fb67-519e-4616-947a-3076539a583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5fb67-519e-4616-947a-3076539a58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A69B47-8109-419D-9DA7-32C86C4FB97F}">
  <ds:schemaRefs>
    <ds:schemaRef ds:uri="http://purl.org/dc/dcmitype/"/>
    <ds:schemaRef ds:uri="http://schemas.microsoft.com/office/2006/documentManagement/types"/>
    <ds:schemaRef ds:uri="http://www.w3.org/XML/1998/namespace"/>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4315fb67-519e-4616-947a-3076539a5839"/>
  </ds:schemaRefs>
</ds:datastoreItem>
</file>

<file path=customXml/itemProps2.xml><?xml version="1.0" encoding="utf-8"?>
<ds:datastoreItem xmlns:ds="http://schemas.openxmlformats.org/officeDocument/2006/customXml" ds:itemID="{DD8A3CBE-E7CA-43F7-9994-51BE4609B6F8}">
  <ds:schemaRefs>
    <ds:schemaRef ds:uri="http://schemas.microsoft.com/sharepoint/v3/contenttype/forms"/>
  </ds:schemaRefs>
</ds:datastoreItem>
</file>

<file path=customXml/itemProps3.xml><?xml version="1.0" encoding="utf-8"?>
<ds:datastoreItem xmlns:ds="http://schemas.openxmlformats.org/officeDocument/2006/customXml" ds:itemID="{98B3A183-4FF6-4360-8B62-4D64AD6CFB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5fb67-519e-4616-947a-3076539a5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APM definisjoner</vt:lpstr>
      <vt:lpstr>APM utregning</vt:lpstr>
      <vt:lpstr>'APM definisjoner'!Utskriftsområde</vt:lpstr>
      <vt:lpstr>'APM utregning'!Utskriftsområde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Pål Sund</cp:lastModifiedBy>
  <cp:lastPrinted>2017-08-23T20:15:43Z</cp:lastPrinted>
  <dcterms:created xsi:type="dcterms:W3CDTF">2017-08-15T12:23:16Z</dcterms:created>
  <dcterms:modified xsi:type="dcterms:W3CDTF">2021-08-25T12:49:46Z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iteId">
    <vt:lpwstr>156b047c-a56e-40a2-9f11-b69d58cf5508</vt:lpwstr>
  </property>
  <property fmtid="{D5CDD505-2E9C-101B-9397-08002B2CF9AE}" pid="4" name="MSIP_Label_e6624104-c6e2-47da-a556-f8167ffa8312_Owner">
    <vt:lpwstr>Cathrine.Aunvik@smn.no</vt:lpwstr>
  </property>
  <property fmtid="{D5CDD505-2E9C-101B-9397-08002B2CF9AE}" pid="5" name="MSIP_Label_e6624104-c6e2-47da-a556-f8167ffa8312_SetDate">
    <vt:lpwstr>2020-07-21T14:25:47.4261643Z</vt:lpwstr>
  </property>
  <property fmtid="{D5CDD505-2E9C-101B-9397-08002B2CF9AE}" pid="6" name="MSIP_Label_e6624104-c6e2-47da-a556-f8167ffa8312_Name">
    <vt:lpwstr>Fortrolig</vt:lpwstr>
  </property>
  <property fmtid="{D5CDD505-2E9C-101B-9397-08002B2CF9AE}" pid="7" name="MSIP_Label_e6624104-c6e2-47da-a556-f8167ffa8312_Application">
    <vt:lpwstr>Microsoft Azure Information Protection</vt:lpwstr>
  </property>
  <property fmtid="{D5CDD505-2E9C-101B-9397-08002B2CF9AE}" pid="8" name="MSIP_Label_e6624104-c6e2-47da-a556-f8167ffa8312_ActionId">
    <vt:lpwstr>e0232c76-87ac-4e56-9012-794c95971c69</vt:lpwstr>
  </property>
  <property fmtid="{D5CDD505-2E9C-101B-9397-08002B2CF9AE}" pid="9" name="MSIP_Label_e6624104-c6e2-47da-a556-f8167ffa8312_Extended_MSFT_Method">
    <vt:lpwstr>Manual</vt:lpwstr>
  </property>
  <property fmtid="{D5CDD505-2E9C-101B-9397-08002B2CF9AE}" pid="10" name="ContentTypeId">
    <vt:lpwstr>0x01010082F24414740EFB4C820770621D7159A3</vt:lpwstr>
  </property>
</Properties>
</file>